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Van der Meer Consulting\Projecten\vdm11364 Onderzoek Berm Breakwaters\Book\"/>
    </mc:Choice>
  </mc:AlternateContent>
  <xr:revisionPtr revIDLastSave="0" documentId="13_ncr:1_{73AA8A27-8F12-4FF0-ACA6-C5EA56A94274}" xr6:coauthVersionLast="45" xr6:coauthVersionMax="45" xr10:uidLastSave="{00000000-0000-0000-0000-000000000000}"/>
  <bookViews>
    <workbookView xWindow="-120" yWindow="-16320" windowWidth="29040" windowHeight="15840" xr2:uid="{00000000-000D-0000-FFFF-FFFF00000000}"/>
  </bookViews>
  <sheets>
    <sheet name="Read me" sheetId="12" r:id="rId1"/>
    <sheet name="Input file" sheetId="13" r:id="rId2"/>
    <sheet name="Output file" sheetId="1" r:id="rId3"/>
    <sheet name="Eq and remarks" sheetId="2" r:id="rId4"/>
    <sheet name="Fig. 8.3" sheetId="4" r:id="rId5"/>
    <sheet name="Fig. 8.6" sheetId="5" r:id="rId6"/>
    <sheet name="Fig. 8.8" sheetId="6" r:id="rId7"/>
    <sheet name="Fig. 8.13" sheetId="7" r:id="rId8"/>
    <sheet name="Fig. 8.15" sheetId="8" r:id="rId9"/>
    <sheet name="Fig. 8.21" sheetId="9" r:id="rId10"/>
    <sheet name="Fig. 8.23" sheetId="10" r:id="rId11"/>
    <sheet name="Fig. 8.25" sheetId="11" r:id="rId12"/>
  </sheets>
  <definedNames>
    <definedName name="_xlnm.Print_Area" localSheetId="2">'Output file'!$A$1:$K$28</definedName>
    <definedName name="solver_adj" localSheetId="2" hidden="1">'Output file'!$J$22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opt" localSheetId="2" hidden="1">'Output file'!$D$74</definedName>
    <definedName name="solver_pre" localSheetId="2" hidden="1">0.000001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3</definedName>
    <definedName name="solver_val" localSheetId="2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1" l="1"/>
  <c r="F10" i="10"/>
  <c r="F10" i="9"/>
  <c r="F10" i="8"/>
  <c r="F10" i="7"/>
  <c r="F10" i="6"/>
  <c r="F10" i="5"/>
  <c r="F10" i="4"/>
  <c r="F10" i="1"/>
  <c r="F10" i="13"/>
  <c r="F20" i="13" l="1"/>
  <c r="F18" i="13"/>
  <c r="M16" i="13"/>
  <c r="F11" i="13"/>
  <c r="J9" i="13"/>
  <c r="J8" i="13"/>
  <c r="F8" i="13"/>
  <c r="G12" i="13" s="1"/>
  <c r="J5" i="13"/>
  <c r="F4" i="13"/>
  <c r="F5" i="13" s="1"/>
  <c r="J3" i="13"/>
  <c r="F3" i="13"/>
  <c r="J2" i="13"/>
  <c r="F2" i="13"/>
  <c r="F6" i="13" l="1"/>
  <c r="F21" i="13"/>
  <c r="F12" i="13"/>
  <c r="J16" i="13" s="1"/>
  <c r="D77" i="13" s="1"/>
  <c r="J19" i="13"/>
  <c r="F20" i="1"/>
  <c r="F18" i="1"/>
  <c r="F11" i="1"/>
  <c r="J9" i="1"/>
  <c r="J8" i="1"/>
  <c r="F8" i="1"/>
  <c r="F12" i="1" s="1"/>
  <c r="J5" i="1"/>
  <c r="F4" i="1"/>
  <c r="F5" i="1" s="1"/>
  <c r="J3" i="1"/>
  <c r="F3" i="1"/>
  <c r="J2" i="1"/>
  <c r="F2" i="1"/>
  <c r="G12" i="1" l="1"/>
  <c r="J24" i="1"/>
  <c r="J25" i="1" s="1"/>
  <c r="J19" i="1"/>
  <c r="F25" i="13"/>
  <c r="F9" i="13"/>
  <c r="F7" i="13"/>
  <c r="J10" i="13"/>
  <c r="J24" i="13"/>
  <c r="J21" i="13"/>
  <c r="K21" i="13"/>
  <c r="K20" i="13"/>
  <c r="J20" i="13"/>
  <c r="K21" i="1"/>
  <c r="J21" i="1"/>
  <c r="K20" i="1"/>
  <c r="J20" i="1"/>
  <c r="F6" i="1"/>
  <c r="F21" i="1"/>
  <c r="J16" i="1"/>
  <c r="J26" i="1" l="1"/>
  <c r="K25" i="1"/>
  <c r="K26" i="1"/>
  <c r="J25" i="13"/>
  <c r="K25" i="13"/>
  <c r="K26" i="13"/>
  <c r="J26" i="13"/>
  <c r="J11" i="13"/>
  <c r="J12" i="13"/>
  <c r="F17" i="13"/>
  <c r="F16" i="13"/>
  <c r="F25" i="1"/>
  <c r="F7" i="1"/>
  <c r="J10" i="1"/>
  <c r="F9" i="1"/>
  <c r="F20" i="11"/>
  <c r="F18" i="11"/>
  <c r="F11" i="11"/>
  <c r="J9" i="11"/>
  <c r="J8" i="11"/>
  <c r="F8" i="11"/>
  <c r="G12" i="11" s="1"/>
  <c r="J5" i="11"/>
  <c r="F4" i="11"/>
  <c r="F5" i="11" s="1"/>
  <c r="F6" i="11" s="1"/>
  <c r="J3" i="11"/>
  <c r="F3" i="11"/>
  <c r="J2" i="11"/>
  <c r="F2" i="11"/>
  <c r="F20" i="10"/>
  <c r="F18" i="10"/>
  <c r="F11" i="10"/>
  <c r="J9" i="10"/>
  <c r="J8" i="10"/>
  <c r="F8" i="10"/>
  <c r="G12" i="10" s="1"/>
  <c r="J5" i="10"/>
  <c r="F4" i="10"/>
  <c r="F5" i="10" s="1"/>
  <c r="J3" i="10"/>
  <c r="F3" i="10"/>
  <c r="F6" i="10" s="1"/>
  <c r="F25" i="10" s="1"/>
  <c r="J2" i="10"/>
  <c r="F2" i="10"/>
  <c r="F20" i="9"/>
  <c r="F18" i="9"/>
  <c r="F11" i="9"/>
  <c r="J9" i="9"/>
  <c r="J8" i="9"/>
  <c r="F8" i="9"/>
  <c r="G12" i="9" s="1"/>
  <c r="J5" i="9"/>
  <c r="F4" i="9"/>
  <c r="F5" i="9" s="1"/>
  <c r="J3" i="9"/>
  <c r="F3" i="9"/>
  <c r="F6" i="9" s="1"/>
  <c r="F9" i="9" s="1"/>
  <c r="J2" i="9"/>
  <c r="F2" i="9"/>
  <c r="F20" i="8"/>
  <c r="F18" i="8"/>
  <c r="F11" i="8"/>
  <c r="J9" i="8"/>
  <c r="J8" i="8"/>
  <c r="F8" i="8"/>
  <c r="F12" i="8" s="1"/>
  <c r="J5" i="8"/>
  <c r="F4" i="8"/>
  <c r="F5" i="8" s="1"/>
  <c r="F6" i="8" s="1"/>
  <c r="J3" i="8"/>
  <c r="F3" i="8"/>
  <c r="J2" i="8"/>
  <c r="F2" i="8"/>
  <c r="F20" i="7"/>
  <c r="F18" i="7"/>
  <c r="F11" i="7"/>
  <c r="J9" i="7"/>
  <c r="J8" i="7"/>
  <c r="F8" i="7"/>
  <c r="F12" i="7" s="1"/>
  <c r="J5" i="7"/>
  <c r="F4" i="7"/>
  <c r="F5" i="7" s="1"/>
  <c r="F6" i="7" s="1"/>
  <c r="J3" i="7"/>
  <c r="F3" i="7"/>
  <c r="J2" i="7"/>
  <c r="F2" i="7"/>
  <c r="F20" i="6"/>
  <c r="F18" i="6"/>
  <c r="F11" i="6"/>
  <c r="J9" i="6"/>
  <c r="J8" i="6"/>
  <c r="F8" i="6"/>
  <c r="G12" i="6" s="1"/>
  <c r="J5" i="6"/>
  <c r="F4" i="6"/>
  <c r="F5" i="6" s="1"/>
  <c r="J3" i="6"/>
  <c r="F3" i="6"/>
  <c r="J24" i="6" s="1"/>
  <c r="K25" i="6" s="1"/>
  <c r="J2" i="6"/>
  <c r="F2" i="6"/>
  <c r="F20" i="5"/>
  <c r="F18" i="5"/>
  <c r="F11" i="5"/>
  <c r="J9" i="5"/>
  <c r="J8" i="5"/>
  <c r="F8" i="5"/>
  <c r="G12" i="5" s="1"/>
  <c r="J5" i="5"/>
  <c r="F4" i="5"/>
  <c r="F5" i="5" s="1"/>
  <c r="J3" i="5"/>
  <c r="F3" i="5"/>
  <c r="F6" i="5" s="1"/>
  <c r="F9" i="5" s="1"/>
  <c r="J2" i="5"/>
  <c r="F2" i="5"/>
  <c r="F21" i="9" l="1"/>
  <c r="F21" i="5"/>
  <c r="J19" i="9"/>
  <c r="F21" i="7"/>
  <c r="F21" i="10"/>
  <c r="J24" i="8"/>
  <c r="K26" i="8" s="1"/>
  <c r="G12" i="8"/>
  <c r="F6" i="6"/>
  <c r="F9" i="6" s="1"/>
  <c r="F21" i="8"/>
  <c r="J19" i="8"/>
  <c r="J11" i="1"/>
  <c r="J12" i="1"/>
  <c r="F17" i="1"/>
  <c r="F16" i="1"/>
  <c r="J24" i="7"/>
  <c r="J26" i="7" s="1"/>
  <c r="J19" i="7"/>
  <c r="J16" i="7"/>
  <c r="F21" i="6"/>
  <c r="F9" i="11"/>
  <c r="F25" i="11"/>
  <c r="J10" i="11"/>
  <c r="J19" i="11"/>
  <c r="F21" i="11"/>
  <c r="J24" i="11"/>
  <c r="F12" i="11"/>
  <c r="J16" i="11" s="1"/>
  <c r="J10" i="10"/>
  <c r="F12" i="10"/>
  <c r="J16" i="10" s="1"/>
  <c r="F9" i="10"/>
  <c r="F7" i="10"/>
  <c r="F16" i="9"/>
  <c r="F17" i="9"/>
  <c r="J10" i="9"/>
  <c r="F7" i="9"/>
  <c r="F25" i="9"/>
  <c r="F12" i="9"/>
  <c r="J16" i="9" s="1"/>
  <c r="J20" i="8"/>
  <c r="K20" i="8"/>
  <c r="K21" i="8"/>
  <c r="J21" i="8"/>
  <c r="F9" i="8"/>
  <c r="F25" i="8"/>
  <c r="F7" i="8"/>
  <c r="J10" i="8"/>
  <c r="J16" i="8"/>
  <c r="F25" i="7"/>
  <c r="F9" i="7"/>
  <c r="F7" i="7"/>
  <c r="J10" i="7"/>
  <c r="G12" i="7"/>
  <c r="F16" i="6"/>
  <c r="F17" i="6"/>
  <c r="F7" i="6"/>
  <c r="J16" i="6"/>
  <c r="J10" i="6"/>
  <c r="J19" i="6"/>
  <c r="F25" i="6"/>
  <c r="J25" i="6"/>
  <c r="J26" i="6"/>
  <c r="F12" i="6"/>
  <c r="F16" i="5"/>
  <c r="F17" i="5"/>
  <c r="F7" i="5"/>
  <c r="J10" i="5"/>
  <c r="F12" i="5"/>
  <c r="F25" i="5"/>
  <c r="K25" i="8" l="1"/>
  <c r="J25" i="8"/>
  <c r="J26" i="8"/>
  <c r="J25" i="7"/>
  <c r="K25" i="7"/>
  <c r="J26" i="11"/>
  <c r="K25" i="11"/>
  <c r="J25" i="11"/>
  <c r="K26" i="11"/>
  <c r="J11" i="11"/>
  <c r="K20" i="11"/>
  <c r="J20" i="11"/>
  <c r="K21" i="11"/>
  <c r="J21" i="11"/>
  <c r="F17" i="11"/>
  <c r="F16" i="11"/>
  <c r="J11" i="10"/>
  <c r="F16" i="10"/>
  <c r="F17" i="10"/>
  <c r="J24" i="10"/>
  <c r="J19" i="10"/>
  <c r="J24" i="9"/>
  <c r="J11" i="9"/>
  <c r="J12" i="8"/>
  <c r="J11" i="8"/>
  <c r="F16" i="8"/>
  <c r="F17" i="8"/>
  <c r="F16" i="7"/>
  <c r="F17" i="7"/>
  <c r="K20" i="7"/>
  <c r="J20" i="7"/>
  <c r="K21" i="7"/>
  <c r="J21" i="7"/>
  <c r="J11" i="7"/>
  <c r="J12" i="7"/>
  <c r="K26" i="7"/>
  <c r="J12" i="6"/>
  <c r="J11" i="6"/>
  <c r="K20" i="6"/>
  <c r="J20" i="6"/>
  <c r="K21" i="6"/>
  <c r="J21" i="6"/>
  <c r="K26" i="6"/>
  <c r="J19" i="5"/>
  <c r="J24" i="5"/>
  <c r="J12" i="5"/>
  <c r="J11" i="5"/>
  <c r="J16" i="5"/>
  <c r="F20" i="4"/>
  <c r="F18" i="4"/>
  <c r="M16" i="4"/>
  <c r="F11" i="4"/>
  <c r="J9" i="4"/>
  <c r="J8" i="4"/>
  <c r="F8" i="4"/>
  <c r="J5" i="4"/>
  <c r="F4" i="4"/>
  <c r="F5" i="4" s="1"/>
  <c r="J3" i="4"/>
  <c r="F3" i="4"/>
  <c r="J2" i="4"/>
  <c r="F2" i="4"/>
  <c r="S31" i="1"/>
  <c r="S47" i="1" s="1"/>
  <c r="S32" i="1"/>
  <c r="S48" i="1" s="1"/>
  <c r="S33" i="1"/>
  <c r="S49" i="1" s="1"/>
  <c r="S34" i="1"/>
  <c r="S50" i="1" s="1"/>
  <c r="S35" i="1"/>
  <c r="S51" i="1" s="1"/>
  <c r="S36" i="1"/>
  <c r="S52" i="1" s="1"/>
  <c r="S37" i="1"/>
  <c r="S53" i="1" s="1"/>
  <c r="N39" i="1"/>
  <c r="N55" i="1" s="1"/>
  <c r="P39" i="1"/>
  <c r="P55" i="1" s="1"/>
  <c r="N40" i="1"/>
  <c r="N56" i="1" s="1"/>
  <c r="P40" i="1"/>
  <c r="P56" i="1" s="1"/>
  <c r="N41" i="1"/>
  <c r="N57" i="1" s="1"/>
  <c r="P41" i="1"/>
  <c r="P57" i="1" s="1"/>
  <c r="M16" i="1"/>
  <c r="E91" i="2"/>
  <c r="E90" i="2"/>
  <c r="B133" i="2"/>
  <c r="B134" i="2" s="1"/>
  <c r="A131" i="2"/>
  <c r="F131" i="2" s="1"/>
  <c r="B116" i="2"/>
  <c r="B117" i="2" s="1"/>
  <c r="B123" i="2" s="1"/>
  <c r="G123" i="2" s="1"/>
  <c r="B97" i="2"/>
  <c r="B98" i="2" s="1"/>
  <c r="F98" i="2" s="1"/>
  <c r="B95" i="2"/>
  <c r="B110" i="2" s="1"/>
  <c r="B111" i="2" s="1"/>
  <c r="B90" i="2"/>
  <c r="B113" i="2" s="1"/>
  <c r="B114" i="2" s="1"/>
  <c r="K20" i="10" l="1"/>
  <c r="J20" i="10"/>
  <c r="K21" i="10"/>
  <c r="J21" i="10"/>
  <c r="K26" i="10"/>
  <c r="J26" i="10"/>
  <c r="K25" i="10"/>
  <c r="J25" i="10"/>
  <c r="K26" i="9"/>
  <c r="J26" i="9"/>
  <c r="K25" i="9"/>
  <c r="J25" i="9"/>
  <c r="K20" i="9"/>
  <c r="J20" i="9"/>
  <c r="K21" i="9"/>
  <c r="J21" i="9"/>
  <c r="K26" i="5"/>
  <c r="J26" i="5"/>
  <c r="K25" i="5"/>
  <c r="J25" i="5"/>
  <c r="K20" i="5"/>
  <c r="J20" i="5"/>
  <c r="K21" i="5"/>
  <c r="J21" i="5"/>
  <c r="F21" i="4"/>
  <c r="G12" i="4"/>
  <c r="F12" i="4"/>
  <c r="J24" i="4" s="1"/>
  <c r="F6" i="4"/>
  <c r="F97" i="2"/>
  <c r="F95" i="2"/>
  <c r="F90" i="2"/>
  <c r="B91" i="2"/>
  <c r="B128" i="2" s="1"/>
  <c r="B127" i="2"/>
  <c r="G127" i="2" s="1"/>
  <c r="B122" i="2"/>
  <c r="G122" i="2" s="1"/>
  <c r="B126" i="2"/>
  <c r="B137" i="2"/>
  <c r="G137" i="2"/>
  <c r="B96" i="2"/>
  <c r="J19" i="4" l="1"/>
  <c r="K21" i="4" s="1"/>
  <c r="J16" i="4"/>
  <c r="D77" i="4" s="1"/>
  <c r="J26" i="4"/>
  <c r="K25" i="4"/>
  <c r="J25" i="4"/>
  <c r="F7" i="4"/>
  <c r="J10" i="4"/>
  <c r="F25" i="4"/>
  <c r="F9" i="4"/>
  <c r="J21" i="4"/>
  <c r="B92" i="2"/>
  <c r="F92" i="2" s="1"/>
  <c r="F91" i="2"/>
  <c r="B130" i="2"/>
  <c r="G128" i="2"/>
  <c r="B125" i="2"/>
  <c r="G125" i="2" s="1"/>
  <c r="G126" i="2"/>
  <c r="B99" i="2"/>
  <c r="F99" i="2" s="1"/>
  <c r="F96" i="2"/>
  <c r="B106" i="2"/>
  <c r="B107" i="2" s="1"/>
  <c r="B93" i="2"/>
  <c r="K26" i="4" l="1"/>
  <c r="J20" i="4"/>
  <c r="K20" i="4"/>
  <c r="J11" i="4"/>
  <c r="J12" i="4"/>
  <c r="F17" i="4"/>
  <c r="F16" i="4"/>
  <c r="B104" i="2"/>
  <c r="I104" i="2"/>
  <c r="B131" i="2"/>
  <c r="G131" i="2" s="1"/>
  <c r="G130" i="2"/>
  <c r="B94" i="2"/>
  <c r="F94" i="2" s="1"/>
  <c r="F93" i="2"/>
  <c r="A92" i="2"/>
  <c r="A116" i="2" l="1"/>
  <c r="A119" i="2" s="1"/>
  <c r="E92" i="2"/>
  <c r="A93" i="2"/>
  <c r="A94" i="2" l="1"/>
  <c r="A95" i="2" s="1"/>
  <c r="A96" i="2" s="1"/>
  <c r="E93" i="2"/>
  <c r="A117" i="2" l="1"/>
  <c r="A120" i="2" s="1"/>
  <c r="A122" i="2"/>
  <c r="A123" i="2" s="1"/>
  <c r="A128" i="2" s="1"/>
  <c r="A130" i="2" s="1"/>
  <c r="A133" i="2"/>
  <c r="A106" i="2" s="1"/>
  <c r="F122" i="2"/>
  <c r="F123" i="2" s="1"/>
  <c r="E94" i="2"/>
  <c r="E95" i="2" s="1"/>
  <c r="F136" i="2"/>
  <c r="F137" i="2" s="1"/>
  <c r="A136" i="2"/>
  <c r="A97" i="2"/>
  <c r="A126" i="2" l="1"/>
  <c r="A127" i="2"/>
  <c r="F127" i="2"/>
  <c r="F126" i="2"/>
  <c r="F128" i="2"/>
  <c r="F130" i="2" s="1"/>
  <c r="E96" i="2"/>
  <c r="E97" i="2" s="1"/>
  <c r="A137" i="2"/>
  <c r="A101" i="2"/>
  <c r="B102" i="2" l="1"/>
  <c r="B101" i="2"/>
  <c r="F132" i="2"/>
  <c r="H100" i="2" s="1"/>
  <c r="G133" i="2" l="1"/>
  <c r="F133" i="2"/>
  <c r="B108" i="2"/>
  <c r="B103" i="2"/>
  <c r="A102" i="2"/>
  <c r="A108" i="2" l="1"/>
  <c r="A107" i="2"/>
  <c r="I101" i="2"/>
  <c r="I100" i="2" s="1"/>
  <c r="G134" i="2"/>
  <c r="I106" i="2"/>
  <c r="I107" i="2" l="1"/>
  <c r="H106" i="2"/>
  <c r="E98" i="2"/>
  <c r="H101" i="2" l="1"/>
  <c r="E99" i="2"/>
  <c r="H103" i="2"/>
  <c r="I102" i="2"/>
  <c r="G135" i="2"/>
  <c r="G136" i="2" s="1"/>
  <c r="B135" i="2"/>
  <c r="B136" i="2" s="1"/>
  <c r="F134" i="2"/>
  <c r="A134" i="2"/>
  <c r="A98" i="2"/>
  <c r="H102" i="2" l="1"/>
  <c r="H108" i="2" s="1"/>
  <c r="A103" i="2"/>
  <c r="A104" i="2" s="1"/>
  <c r="A125" i="2" s="1"/>
  <c r="F125" i="2" s="1"/>
  <c r="A99" i="2"/>
  <c r="A114" i="2" s="1"/>
  <c r="F135" i="2"/>
  <c r="A135" i="2"/>
  <c r="I108" i="2"/>
  <c r="I103" i="2"/>
  <c r="F110" i="2"/>
  <c r="D77" i="1"/>
  <c r="H107" i="2" l="1"/>
  <c r="A110" i="2"/>
  <c r="H104" i="2"/>
  <c r="A111" i="2" l="1"/>
  <c r="F111" i="2"/>
</calcChain>
</file>

<file path=xl/sharedStrings.xml><?xml version="1.0" encoding="utf-8"?>
<sst xmlns="http://schemas.openxmlformats.org/spreadsheetml/2006/main" count="1350" uniqueCount="136">
  <si>
    <t>Wanted resiliency</t>
  </si>
  <si>
    <t>General conditions</t>
  </si>
  <si>
    <r>
      <t>Design wave height H</t>
    </r>
    <r>
      <rPr>
        <vertAlign val="subscript"/>
        <sz val="11"/>
        <color theme="1"/>
        <rFont val="Calibri"/>
        <family val="2"/>
        <scheme val="minor"/>
      </rPr>
      <t>sD</t>
    </r>
  </si>
  <si>
    <t>m</t>
  </si>
  <si>
    <r>
      <t>Wave steepness s</t>
    </r>
    <r>
      <rPr>
        <vertAlign val="subscript"/>
        <sz val="11"/>
        <color theme="1"/>
        <rFont val="Calibri"/>
        <family val="2"/>
        <scheme val="minor"/>
      </rPr>
      <t>op</t>
    </r>
  </si>
  <si>
    <t>-</t>
  </si>
  <si>
    <r>
      <t>Peak period T</t>
    </r>
    <r>
      <rPr>
        <vertAlign val="subscript"/>
        <sz val="11"/>
        <color theme="1"/>
        <rFont val="Calibri"/>
        <family val="2"/>
        <scheme val="minor"/>
      </rPr>
      <t>p</t>
    </r>
  </si>
  <si>
    <t>s</t>
  </si>
  <si>
    <r>
      <t>Overload H</t>
    </r>
    <r>
      <rPr>
        <vertAlign val="subscript"/>
        <sz val="11"/>
        <color theme="1"/>
        <rFont val="Calibri"/>
        <family val="2"/>
        <scheme val="minor"/>
      </rPr>
      <t>s</t>
    </r>
  </si>
  <si>
    <t>Design water level DWL</t>
  </si>
  <si>
    <t>m CD</t>
  </si>
  <si>
    <t>Lowest storm level</t>
  </si>
  <si>
    <r>
      <t>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at lowest storm level</t>
    </r>
  </si>
  <si>
    <r>
      <t>Lowest water level with H</t>
    </r>
    <r>
      <rPr>
        <vertAlign val="subscript"/>
        <sz val="11"/>
        <color theme="1"/>
        <rFont val="Calibri"/>
        <family val="2"/>
        <scheme val="minor"/>
      </rPr>
      <t>sD</t>
    </r>
  </si>
  <si>
    <r>
      <t>Allowable overtopping q for H</t>
    </r>
    <r>
      <rPr>
        <vertAlign val="subscript"/>
        <sz val="11"/>
        <color theme="1"/>
        <rFont val="Calibri"/>
        <family val="2"/>
        <scheme val="minor"/>
      </rPr>
      <t>sD</t>
    </r>
  </si>
  <si>
    <t>Allowable overtopping q for overload</t>
  </si>
  <si>
    <t>Mass density water</t>
  </si>
  <si>
    <t>Mass density rock</t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</si>
  <si>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</si>
  <si>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t</t>
  </si>
  <si>
    <t>Outcome main parameters</t>
  </si>
  <si>
    <r>
      <t>Stability number H</t>
    </r>
    <r>
      <rPr>
        <vertAlign val="subscript"/>
        <sz val="11"/>
        <color theme="1"/>
        <rFont val="Calibri"/>
        <family val="2"/>
        <scheme val="minor"/>
      </rPr>
      <t>sD</t>
    </r>
    <r>
      <rPr>
        <sz val="11"/>
        <color theme="1"/>
        <rFont val="Calibri"/>
        <family val="2"/>
        <scheme val="minor"/>
      </rPr>
      <t>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D</t>
    </r>
    <r>
      <rPr>
        <vertAlign val="subscript"/>
        <sz val="11"/>
        <color theme="1"/>
        <rFont val="Calibri"/>
        <family val="2"/>
        <scheme val="minor"/>
      </rPr>
      <t>n50</t>
    </r>
  </si>
  <si>
    <r>
      <t xml:space="preserve">Relative mass density </t>
    </r>
    <r>
      <rPr>
        <sz val="11"/>
        <color theme="1"/>
        <rFont val="Symbol"/>
        <family val="1"/>
        <charset val="2"/>
      </rPr>
      <t>D</t>
    </r>
  </si>
  <si>
    <t>Type of berm breakwater</t>
  </si>
  <si>
    <t>Recession for overload</t>
  </si>
  <si>
    <t>%</t>
  </si>
  <si>
    <r>
      <t>Required horizontal armour width A</t>
    </r>
    <r>
      <rPr>
        <b/>
        <vertAlign val="subscript"/>
        <sz val="11"/>
        <color theme="1"/>
        <rFont val="Calibri"/>
        <family val="2"/>
        <scheme val="minor"/>
      </rPr>
      <t>h</t>
    </r>
  </si>
  <si>
    <t>Ah = 2 HsD/DDn50 HsD</t>
  </si>
  <si>
    <r>
      <t>Berm level 0.6 H</t>
    </r>
    <r>
      <rPr>
        <vertAlign val="subscript"/>
        <sz val="11"/>
        <color theme="1"/>
        <rFont val="Calibri"/>
        <family val="2"/>
        <scheme val="minor"/>
      </rPr>
      <t>sD</t>
    </r>
  </si>
  <si>
    <t>Mean High Water Spring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</si>
  <si>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w for waves during construction</t>
    </r>
  </si>
  <si>
    <r>
      <t xml:space="preserve">MHWS plus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w = working level </t>
    </r>
  </si>
  <si>
    <t>Minimum berm level from construction</t>
  </si>
  <si>
    <r>
      <t>Construction level + 2D</t>
    </r>
    <r>
      <rPr>
        <vertAlign val="subscript"/>
        <sz val="11"/>
        <color theme="1"/>
        <rFont val="Calibri"/>
        <family val="2"/>
        <scheme val="minor"/>
      </rPr>
      <t>n50</t>
    </r>
  </si>
  <si>
    <t>Resiliency, berm width and level</t>
  </si>
  <si>
    <t>Design conditions</t>
  </si>
  <si>
    <r>
      <t>If no overtopping criteria, R</t>
    </r>
    <r>
      <rPr>
        <vertAlign val="subscript"/>
        <sz val="11"/>
        <color theme="1"/>
        <rFont val="Calibri"/>
        <family val="2"/>
        <scheme val="minor"/>
      </rPr>
      <t>c min</t>
    </r>
  </si>
  <si>
    <r>
      <t>If no overtopping criteria, R</t>
    </r>
    <r>
      <rPr>
        <vertAlign val="subscript"/>
        <sz val="11"/>
        <color theme="1"/>
        <rFont val="Calibri"/>
        <family val="2"/>
        <scheme val="minor"/>
      </rPr>
      <t>c max</t>
    </r>
  </si>
  <si>
    <r>
      <t xml:space="preserve">For given allowable overtopping, q, </t>
    </r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BB</t>
    </r>
  </si>
  <si>
    <t>Overload conditions</t>
  </si>
  <si>
    <r>
      <t>For H</t>
    </r>
    <r>
      <rPr>
        <vertAlign val="subscript"/>
        <sz val="11"/>
        <color theme="1"/>
        <rFont val="Calibri"/>
        <family val="2"/>
        <scheme val="minor"/>
      </rPr>
      <t>sD</t>
    </r>
    <r>
      <rPr>
        <sz val="11"/>
        <color theme="1"/>
        <rFont val="Calibri"/>
        <family val="2"/>
        <scheme val="minor"/>
      </rPr>
      <t xml:space="preserve"> at lowest level</t>
    </r>
  </si>
  <si>
    <r>
      <t>0.4 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from lowest level with H</t>
    </r>
    <r>
      <rPr>
        <vertAlign val="subscript"/>
        <sz val="11"/>
        <color theme="1"/>
        <rFont val="Calibri"/>
        <family val="2"/>
        <scheme val="minor"/>
      </rPr>
      <t>s</t>
    </r>
  </si>
  <si>
    <r>
      <t>For lowest level with according H</t>
    </r>
    <r>
      <rPr>
        <vertAlign val="subscript"/>
        <sz val="11"/>
        <color theme="1"/>
        <rFont val="Calibri"/>
        <family val="2"/>
        <scheme val="minor"/>
      </rPr>
      <t>s</t>
    </r>
  </si>
  <si>
    <t>Rock Manual</t>
  </si>
  <si>
    <r>
      <t>Allowable damage level for H</t>
    </r>
    <r>
      <rPr>
        <vertAlign val="subscript"/>
        <sz val="11"/>
        <color theme="1"/>
        <rFont val="Calibri"/>
        <family val="2"/>
        <scheme val="minor"/>
      </rPr>
      <t>sD</t>
    </r>
    <r>
      <rPr>
        <sz val="11"/>
        <color theme="1"/>
        <rFont val="Calibri"/>
        <family val="2"/>
        <scheme val="minor"/>
      </rPr>
      <t>, N</t>
    </r>
    <r>
      <rPr>
        <vertAlign val="subscript"/>
        <sz val="11"/>
        <color theme="1"/>
        <rFont val="Calibri"/>
        <family val="2"/>
        <scheme val="minor"/>
      </rPr>
      <t>od</t>
    </r>
  </si>
  <si>
    <r>
      <t>Allowable damage level for overload, N</t>
    </r>
    <r>
      <rPr>
        <vertAlign val="subscript"/>
        <sz val="11"/>
        <color theme="1"/>
        <rFont val="Calibri"/>
        <family val="2"/>
        <scheme val="minor"/>
      </rPr>
      <t>od</t>
    </r>
  </si>
  <si>
    <r>
      <t>Check validity range h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/D</t>
    </r>
    <r>
      <rPr>
        <vertAlign val="subscript"/>
        <sz val="11"/>
        <color theme="1"/>
        <rFont val="Calibri"/>
        <family val="2"/>
        <scheme val="minor"/>
      </rPr>
      <t>n50</t>
    </r>
  </si>
  <si>
    <r>
      <t>Check validity range h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/h</t>
    </r>
  </si>
  <si>
    <t xml:space="preserve">m </t>
  </si>
  <si>
    <t>Outer contour</t>
  </si>
  <si>
    <t>Inner contour class I</t>
  </si>
  <si>
    <t>Core through Ah</t>
  </si>
  <si>
    <t>Bottom</t>
  </si>
  <si>
    <t>Recession for HsD</t>
  </si>
  <si>
    <t>Design water level</t>
  </si>
  <si>
    <t>Chart Datum</t>
  </si>
  <si>
    <t>Horizontal armour width Ah</t>
  </si>
  <si>
    <t>Foundation level by core</t>
  </si>
  <si>
    <t>Inner contour class II under crest</t>
  </si>
  <si>
    <t>Inner contour class II under class I</t>
  </si>
  <si>
    <t>Resulting Berm width B from resiliency</t>
  </si>
  <si>
    <r>
      <t>Minimum berm width B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from geometry</t>
    </r>
  </si>
  <si>
    <t>Seaward slope line under crest increased</t>
  </si>
  <si>
    <t>Level transition to class III: height divided by 2</t>
  </si>
  <si>
    <t>Design of berm width</t>
  </si>
  <si>
    <t>Design of berm level</t>
  </si>
  <si>
    <r>
      <t>Design of A</t>
    </r>
    <r>
      <rPr>
        <vertAlign val="subscript"/>
        <sz val="11"/>
        <color theme="1"/>
        <rFont val="Calibri"/>
        <family val="2"/>
        <scheme val="minor"/>
      </rPr>
      <t>h</t>
    </r>
  </si>
  <si>
    <t>Design of crest level</t>
  </si>
  <si>
    <r>
      <t>Crest level (</t>
    </r>
    <r>
      <rPr>
        <b/>
        <sz val="11"/>
        <color theme="1"/>
        <rFont val="Symbol"/>
        <family val="1"/>
        <charset val="2"/>
      </rPr>
      <t>g</t>
    </r>
    <r>
      <rPr>
        <b/>
        <vertAlign val="subscript"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 xml:space="preserve"> = 1)</t>
    </r>
  </si>
  <si>
    <t>Design of toe berm level</t>
  </si>
  <si>
    <t>Design of transition class I to class II</t>
  </si>
  <si>
    <t>Bottom level of foreshore at toe of structure</t>
  </si>
  <si>
    <t>2Dn50 thick class II</t>
  </si>
  <si>
    <r>
      <t>Basic recession for H</t>
    </r>
    <r>
      <rPr>
        <vertAlign val="subscript"/>
        <sz val="11"/>
        <color theme="1"/>
        <rFont val="Calibri"/>
        <family val="2"/>
        <scheme val="minor"/>
      </rPr>
      <t xml:space="preserve">sD </t>
    </r>
    <r>
      <rPr>
        <sz val="11"/>
        <color theme="1"/>
        <rFont val="Calibri"/>
        <family val="2"/>
        <scheme val="minor"/>
      </rPr>
      <t>(no adaptation)</t>
    </r>
  </si>
  <si>
    <t>Recession for overload (no adaptation)</t>
  </si>
  <si>
    <t xml:space="preserve">Minimum transition level to class II </t>
  </si>
  <si>
    <r>
      <t>0.6 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from lowest level with H</t>
    </r>
    <r>
      <rPr>
        <vertAlign val="subscript"/>
        <sz val="11"/>
        <color theme="1"/>
        <rFont val="Calibri"/>
        <family val="2"/>
        <scheme val="minor"/>
      </rPr>
      <t>s</t>
    </r>
  </si>
  <si>
    <t>IC: in principal three classes</t>
  </si>
  <si>
    <t>MA: only two classes</t>
  </si>
  <si>
    <t>Linear transition of gamma BB from Ho=2.3 to 2.6?</t>
  </si>
  <si>
    <t>Gamma BB is the same for HsD and overload if we assume similar steepness, take this gamma BB out</t>
  </si>
  <si>
    <t>My suggestion is to delete 5.187;</t>
  </si>
  <si>
    <r>
      <t>Rock Class III: M</t>
    </r>
    <r>
      <rPr>
        <vertAlign val="subscript"/>
        <sz val="11"/>
        <color theme="1"/>
        <rFont val="Calibri"/>
        <family val="2"/>
        <scheme val="minor"/>
      </rPr>
      <t xml:space="preserve">min </t>
    </r>
    <r>
      <rPr>
        <sz val="11"/>
        <color theme="1"/>
        <rFont val="Calibri"/>
        <family val="2"/>
        <scheme val="minor"/>
      </rPr>
      <t>(leave open for MA)</t>
    </r>
  </si>
  <si>
    <r>
      <t>Rock Class III: M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(leave open for MA)</t>
    </r>
  </si>
  <si>
    <t>Required crest level for design conditions</t>
  </si>
  <si>
    <t>Required crest level for overload</t>
  </si>
  <si>
    <t>Other set-up which directly gives the lowest and highest level, given the classes</t>
  </si>
  <si>
    <t>Summary of design choices</t>
  </si>
  <si>
    <t>Choice of rock classes</t>
  </si>
  <si>
    <t>Adaption could be done after geometrical design</t>
  </si>
  <si>
    <r>
      <t>Median mass Class I M</t>
    </r>
    <r>
      <rPr>
        <vertAlign val="subscript"/>
        <sz val="11"/>
        <color theme="1"/>
        <rFont val="Calibri"/>
        <family val="2"/>
        <scheme val="minor"/>
      </rPr>
      <t>50</t>
    </r>
  </si>
  <si>
    <r>
      <t>Nominal diameter Class I D</t>
    </r>
    <r>
      <rPr>
        <vertAlign val="subscript"/>
        <sz val="11"/>
        <color theme="1"/>
        <rFont val="Calibri"/>
        <family val="2"/>
        <scheme val="minor"/>
      </rPr>
      <t>n50</t>
    </r>
  </si>
  <si>
    <t>Number of rock classes for berm</t>
  </si>
  <si>
    <r>
      <t>Nominal diameter Class III, D</t>
    </r>
    <r>
      <rPr>
        <vertAlign val="subscript"/>
        <sz val="11"/>
        <color theme="1"/>
        <rFont val="Calibri"/>
        <family val="2"/>
        <scheme val="minor"/>
      </rPr>
      <t>n50</t>
    </r>
  </si>
  <si>
    <t>Transition lower class for MA (2 rock classes)</t>
  </si>
  <si>
    <r>
      <t>Check possibility of toe berm at level h</t>
    </r>
    <r>
      <rPr>
        <b/>
        <vertAlign val="subscript"/>
        <sz val="11"/>
        <color theme="1"/>
        <rFont val="Calibri"/>
        <family val="2"/>
        <scheme val="minor"/>
      </rPr>
      <t>t</t>
    </r>
  </si>
  <si>
    <t>Minimum: 1.5 m core layer + 2Dn50 of class III (IC) or class II (if two classes)</t>
  </si>
  <si>
    <r>
      <rPr>
        <b/>
        <sz val="11"/>
        <color theme="1"/>
        <rFont val="Calibri"/>
        <family val="2"/>
        <scheme val="minor"/>
      </rPr>
      <t>Lowest</t>
    </r>
    <r>
      <rPr>
        <sz val="11"/>
        <color theme="1"/>
        <rFont val="Calibri"/>
        <family val="2"/>
        <scheme val="minor"/>
      </rPr>
      <t xml:space="preserve"> possible toe level (two layers)</t>
    </r>
  </si>
  <si>
    <r>
      <rPr>
        <i/>
        <sz val="11"/>
        <color theme="1"/>
        <rFont val="Calibri"/>
        <family val="2"/>
        <scheme val="minor"/>
      </rPr>
      <t>Highest</t>
    </r>
    <r>
      <rPr>
        <sz val="11"/>
        <color theme="1"/>
        <rFont val="Calibri"/>
        <family val="2"/>
        <scheme val="minor"/>
      </rPr>
      <t xml:space="preserve"> level of toe for H</t>
    </r>
    <r>
      <rPr>
        <vertAlign val="subscript"/>
        <sz val="11"/>
        <color theme="1"/>
        <rFont val="Calibri"/>
        <family val="2"/>
        <scheme val="minor"/>
      </rPr>
      <t>sD</t>
    </r>
    <r>
      <rPr>
        <sz val="11"/>
        <color theme="1"/>
        <rFont val="Calibri"/>
        <family val="2"/>
        <scheme val="minor"/>
      </rPr>
      <t xml:space="preserve"> with chosen N</t>
    </r>
    <r>
      <rPr>
        <vertAlign val="subscript"/>
        <sz val="11"/>
        <color theme="1"/>
        <rFont val="Calibri"/>
        <family val="2"/>
        <scheme val="minor"/>
      </rPr>
      <t>od</t>
    </r>
  </si>
  <si>
    <r>
      <rPr>
        <i/>
        <sz val="11"/>
        <color theme="1"/>
        <rFont val="Calibri"/>
        <family val="2"/>
        <scheme val="minor"/>
      </rPr>
      <t>Highest</t>
    </r>
    <r>
      <rPr>
        <sz val="11"/>
        <color theme="1"/>
        <rFont val="Calibri"/>
        <family val="2"/>
        <scheme val="minor"/>
      </rPr>
      <t xml:space="preserve"> level of toe for overload with chosen N</t>
    </r>
    <r>
      <rPr>
        <vertAlign val="subscript"/>
        <sz val="11"/>
        <color theme="1"/>
        <rFont val="Calibri"/>
        <family val="2"/>
        <scheme val="minor"/>
      </rPr>
      <t>od</t>
    </r>
  </si>
  <si>
    <t>Design choice of berm width</t>
  </si>
  <si>
    <t>Design choice of berm level</t>
  </si>
  <si>
    <r>
      <t>Design choice of A</t>
    </r>
    <r>
      <rPr>
        <vertAlign val="subscript"/>
        <sz val="11"/>
        <color theme="1"/>
        <rFont val="Calibri"/>
        <family val="2"/>
        <scheme val="minor"/>
      </rPr>
      <t>h</t>
    </r>
  </si>
  <si>
    <t>Design choice of transition for IC (3 rock classes)</t>
  </si>
  <si>
    <t>Design choice of crest level</t>
  </si>
  <si>
    <r>
      <t>Design choice cot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core below A</t>
    </r>
    <r>
      <rPr>
        <vertAlign val="subscript"/>
        <sz val="11"/>
        <color theme="1"/>
        <rFont val="Calibri"/>
        <family val="2"/>
        <scheme val="minor"/>
      </rPr>
      <t>h</t>
    </r>
  </si>
  <si>
    <t>l/s per m</t>
  </si>
  <si>
    <t>Inner contour class I under crest</t>
  </si>
  <si>
    <t>2Dn50 thick class I</t>
  </si>
  <si>
    <t>Design choice of toe berm level (0 if no berm)</t>
  </si>
  <si>
    <t>Chosen design option:</t>
  </si>
  <si>
    <t>Rock Class I</t>
  </si>
  <si>
    <t>Rock Class II</t>
  </si>
  <si>
    <t>Rock Class III</t>
  </si>
  <si>
    <t>Rock Class I: minimum mass (0-15%)</t>
  </si>
  <si>
    <t>Rock Class II: minimum mass (0-15%)</t>
  </si>
  <si>
    <t>Rock Class I: maximum mass (85-100%)</t>
  </si>
  <si>
    <t>Rock Class II: maximum mass (85-100%)</t>
  </si>
  <si>
    <r>
      <t>Nominal diameter Class II, D</t>
    </r>
    <r>
      <rPr>
        <vertAlign val="subscript"/>
        <sz val="11"/>
        <color theme="1"/>
        <rFont val="Calibri"/>
        <family val="2"/>
        <scheme val="minor"/>
      </rPr>
      <t>n50</t>
    </r>
  </si>
  <si>
    <t>Outer contour MA</t>
  </si>
  <si>
    <t>MA slope 1:1.2</t>
  </si>
  <si>
    <t>For MA 1:1.2</t>
  </si>
  <si>
    <t>MA 1:1.2</t>
  </si>
  <si>
    <t>Copy A1:K28 to Set-up and the correct outcome will be generated in the graphd</t>
  </si>
  <si>
    <t>no</t>
  </si>
  <si>
    <r>
      <t>Dyn. stable structure, no breakwater!     Crest level (</t>
    </r>
    <r>
      <rPr>
        <b/>
        <sz val="11"/>
        <color theme="1"/>
        <rFont val="Symbol"/>
        <family val="1"/>
        <charset val="2"/>
      </rPr>
      <t>g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= 1)</t>
    </r>
  </si>
  <si>
    <t>Read me</t>
  </si>
  <si>
    <t>Design and Construction of Berm Breakwaters by Jentsje van der Meer and Sigurdur Sigurdarson (2016).</t>
  </si>
  <si>
    <t xml:space="preserve">This spreadsheet belongs to the book: </t>
  </si>
  <si>
    <t xml:space="preserve">Advanced Series on Ocean Engineering - Volume 40. World Scientific. </t>
  </si>
  <si>
    <t>http://www.worldscientific.com/worldscibooks/10.1142/9936</t>
  </si>
  <si>
    <t>For your own calculations:</t>
  </si>
  <si>
    <t>Go to the Input file and adjust according to your design situation.</t>
  </si>
  <si>
    <t>Copy A1-K28 of the input file to A1 of the Output file.</t>
  </si>
  <si>
    <t>The output file gives now the conceptual cross-section: for 2 or 3 rock classes, depending on your input.</t>
  </si>
  <si>
    <t>The spreadsheet gives the calculations in chapter 8 of the book in worksheets Fig. 8.xx, just for your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</si>
</sst>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Symbol"/>
      <family val="1"/>
      <charset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quotePrefix="1"/>
    <xf numFmtId="2" fontId="0" fillId="0" borderId="0" xfId="0" applyNumberFormat="1"/>
    <xf numFmtId="165" fontId="0" fillId="0" borderId="0" xfId="0" applyNumberFormat="1"/>
    <xf numFmtId="0" fontId="0" fillId="0" borderId="0" xfId="0" applyFill="1"/>
    <xf numFmtId="0" fontId="2" fillId="0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7" fillId="0" borderId="0" xfId="0" applyFont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Fill="1" applyBorder="1"/>
    <xf numFmtId="2" fontId="0" fillId="0" borderId="0" xfId="0" applyNumberFormat="1" applyFill="1" applyBorder="1" applyAlignment="1">
      <alignment horizontal="left"/>
    </xf>
    <xf numFmtId="0" fontId="1" fillId="0" borderId="0" xfId="0" applyFont="1"/>
    <xf numFmtId="164" fontId="0" fillId="0" borderId="0" xfId="0" applyNumberFormat="1" applyFill="1"/>
    <xf numFmtId="16" fontId="0" fillId="0" borderId="0" xfId="0" applyNumberFormat="1"/>
    <xf numFmtId="0" fontId="0" fillId="5" borderId="0" xfId="0" applyFill="1"/>
    <xf numFmtId="2" fontId="0" fillId="0" borderId="0" xfId="0" applyNumberFormat="1" applyFill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ont="1" applyAlignment="1">
      <alignment horizontal="right"/>
    </xf>
    <xf numFmtId="2" fontId="0" fillId="0" borderId="0" xfId="0" applyNumberFormat="1" applyFill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2" fillId="0" borderId="0" xfId="0" applyFont="1" applyFill="1" applyBorder="1"/>
    <xf numFmtId="2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quotePrefix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4" borderId="0" xfId="0" applyFont="1" applyFill="1"/>
    <xf numFmtId="2" fontId="0" fillId="0" borderId="0" xfId="0" applyNumberFormat="1" applyAlignment="1">
      <alignment horizontal="left"/>
    </xf>
    <xf numFmtId="0" fontId="2" fillId="6" borderId="1" xfId="0" applyFont="1" applyFill="1" applyBorder="1"/>
    <xf numFmtId="0" fontId="2" fillId="6" borderId="2" xfId="0" applyFon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/>
    <xf numFmtId="2" fontId="0" fillId="6" borderId="0" xfId="0" applyNumberFormat="1" applyFill="1" applyBorder="1"/>
    <xf numFmtId="0" fontId="0" fillId="6" borderId="5" xfId="0" applyFill="1" applyBorder="1"/>
    <xf numFmtId="165" fontId="0" fillId="6" borderId="0" xfId="0" applyNumberFormat="1" applyFill="1" applyBorder="1"/>
    <xf numFmtId="2" fontId="0" fillId="6" borderId="0" xfId="0" applyNumberFormat="1" applyFill="1" applyBorder="1" applyAlignment="1">
      <alignment horizontal="right"/>
    </xf>
    <xf numFmtId="0" fontId="0" fillId="6" borderId="6" xfId="0" applyFill="1" applyBorder="1"/>
    <xf numFmtId="0" fontId="0" fillId="6" borderId="7" xfId="0" applyFill="1" applyBorder="1"/>
    <xf numFmtId="0" fontId="0" fillId="6" borderId="8" xfId="0" quotePrefix="1" applyFill="1" applyBorder="1"/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7" xfId="0" applyFill="1" applyBorder="1" applyAlignment="1">
      <alignment horizontal="left"/>
    </xf>
    <xf numFmtId="0" fontId="0" fillId="6" borderId="8" xfId="0" applyFill="1" applyBorder="1"/>
    <xf numFmtId="2" fontId="0" fillId="6" borderId="7" xfId="0" applyNumberFormat="1" applyFill="1" applyBorder="1"/>
    <xf numFmtId="0" fontId="0" fillId="6" borderId="0" xfId="0" applyFill="1"/>
    <xf numFmtId="0" fontId="0" fillId="6" borderId="0" xfId="0" applyFill="1" applyAlignment="1">
      <alignment horizontal="right"/>
    </xf>
    <xf numFmtId="2" fontId="0" fillId="6" borderId="0" xfId="0" applyNumberFormat="1" applyFill="1"/>
    <xf numFmtId="165" fontId="0" fillId="6" borderId="0" xfId="0" applyNumberFormat="1" applyFill="1"/>
    <xf numFmtId="2" fontId="0" fillId="6" borderId="0" xfId="0" applyNumberFormat="1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/>
    <xf numFmtId="0" fontId="11" fillId="0" borderId="0" xfId="0" applyFont="1"/>
    <xf numFmtId="0" fontId="12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31657122405155E-2"/>
          <c:y val="4.1090056414495681E-2"/>
          <c:w val="0.91770415771892155"/>
          <c:h val="0.9342534856553335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remarks'!$A$90:$A$99</c:f>
              <c:numCache>
                <c:formatCode>General</c:formatCode>
                <c:ptCount val="10"/>
                <c:pt idx="0">
                  <c:v>0</c:v>
                </c:pt>
                <c:pt idx="1">
                  <c:v>2.25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 formatCode="0.00">
                  <c:v>23.25</c:v>
                </c:pt>
                <c:pt idx="6" formatCode="0.00">
                  <c:v>31.25</c:v>
                </c:pt>
                <c:pt idx="7">
                  <c:v>32.450000000000003</c:v>
                </c:pt>
                <c:pt idx="8">
                  <c:v>36.398046067497148</c:v>
                </c:pt>
                <c:pt idx="9" formatCode="0.00">
                  <c:v>37.598046067497151</c:v>
                </c:pt>
              </c:numCache>
            </c:numRef>
          </c:xVal>
          <c:yVal>
            <c:numRef>
              <c:f>'Eq and remarks'!$B$90:$B$99</c:f>
              <c:numCache>
                <c:formatCode>General</c:formatCode>
                <c:ptCount val="10"/>
                <c:pt idx="0">
                  <c:v>-9</c:v>
                </c:pt>
                <c:pt idx="1">
                  <c:v>-7.5</c:v>
                </c:pt>
                <c:pt idx="2">
                  <c:v>-7.5</c:v>
                </c:pt>
                <c:pt idx="3">
                  <c:v>-7.5</c:v>
                </c:pt>
                <c:pt idx="4">
                  <c:v>-7.5</c:v>
                </c:pt>
                <c:pt idx="5" formatCode="0.00">
                  <c:v>4</c:v>
                </c:pt>
                <c:pt idx="6" formatCode="0.00">
                  <c:v>4</c:v>
                </c:pt>
                <c:pt idx="7" formatCode="0.00">
                  <c:v>4.8</c:v>
                </c:pt>
                <c:pt idx="8" formatCode="0.00">
                  <c:v>4.8</c:v>
                </c:pt>
                <c:pt idx="9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2-470B-8328-CB9A3CAF17CA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remarks'!$A$113:$A$114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37.598046067497151</c:v>
                </c:pt>
              </c:numCache>
            </c:numRef>
          </c:xVal>
          <c:yVal>
            <c:numRef>
              <c:f>'Eq and remarks'!$B$113:$B$114</c:f>
              <c:numCache>
                <c:formatCode>General</c:formatCode>
                <c:ptCount val="2"/>
                <c:pt idx="0">
                  <c:v>-9</c:v>
                </c:pt>
                <c:pt idx="1">
                  <c:v>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2-470B-8328-CB9A3CAF17CA}"/>
            </c:ext>
          </c:extLst>
        </c:ser>
        <c:ser>
          <c:idx val="2"/>
          <c:order val="2"/>
          <c:tx>
            <c:v>Design water level DWL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 and remarks'!$A$116:$A$117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remarks'!$B$116:$B$117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2-470B-8328-CB9A3CAF17CA}"/>
            </c:ext>
          </c:extLst>
        </c:ser>
        <c:ser>
          <c:idx val="3"/>
          <c:order val="3"/>
          <c:tx>
            <c:v>Chart Datum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'Eq and remarks'!$A$119:$A$120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remarks'!$B$119:$B$120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2-470B-8328-CB9A3CAF17CA}"/>
            </c:ext>
          </c:extLst>
        </c:ser>
        <c:ser>
          <c:idx val="4"/>
          <c:order val="4"/>
          <c:tx>
            <c:v>Horizontal armour width Ah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'Eq and remarks'!$A$122:$A$123</c:f>
              <c:numCache>
                <c:formatCode>0.0</c:formatCode>
                <c:ptCount val="2"/>
                <c:pt idx="0" formatCode="General">
                  <c:v>18.75</c:v>
                </c:pt>
                <c:pt idx="1">
                  <c:v>30.75</c:v>
                </c:pt>
              </c:numCache>
            </c:numRef>
          </c:xVal>
          <c:yVal>
            <c:numRef>
              <c:f>'Eq and remarks'!$B$122:$B$123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2-470B-8328-CB9A3CAF17CA}"/>
            </c:ext>
          </c:extLst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remarks'!$A$125:$A$128</c:f>
              <c:numCache>
                <c:formatCode>General</c:formatCode>
                <c:ptCount val="4"/>
                <c:pt idx="0">
                  <c:v>35.304269303760186</c:v>
                </c:pt>
                <c:pt idx="1">
                  <c:v>35.25</c:v>
                </c:pt>
                <c:pt idx="2" formatCode="0.0">
                  <c:v>30.75</c:v>
                </c:pt>
                <c:pt idx="3">
                  <c:v>18</c:v>
                </c:pt>
              </c:numCache>
            </c:numRef>
          </c:xVal>
          <c:yVal>
            <c:numRef>
              <c:f>'Eq and remarks'!$B$125:$B$128</c:f>
              <c:numCache>
                <c:formatCode>0.00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 formatCode="General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2-470B-8328-CB9A3CAF17CA}"/>
            </c:ext>
          </c:extLst>
        </c:ser>
        <c:ser>
          <c:idx val="6"/>
          <c:order val="6"/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'Eq and remarks'!$A$133:$A$137</c:f>
              <c:numCache>
                <c:formatCode>General</c:formatCode>
                <c:ptCount val="5"/>
                <c:pt idx="0">
                  <c:v>14.55</c:v>
                </c:pt>
                <c:pt idx="1">
                  <c:v>18.108720633563728</c:v>
                </c:pt>
                <c:pt idx="2">
                  <c:v>23.847686082940871</c:v>
                </c:pt>
                <c:pt idx="3" formatCode="0.00">
                  <c:v>31.25</c:v>
                </c:pt>
                <c:pt idx="4" formatCode="0.00">
                  <c:v>31.25</c:v>
                </c:pt>
              </c:numCache>
            </c:numRef>
          </c:xVal>
          <c:yVal>
            <c:numRef>
              <c:f>'Eq and remarks'!$B$133:$B$137</c:f>
              <c:numCache>
                <c:formatCode>General</c:formatCode>
                <c:ptCount val="5"/>
                <c:pt idx="0">
                  <c:v>-1.8</c:v>
                </c:pt>
                <c:pt idx="1">
                  <c:v>-1.8</c:v>
                </c:pt>
                <c:pt idx="2">
                  <c:v>2.0259769662514291</c:v>
                </c:pt>
                <c:pt idx="3">
                  <c:v>2.0259769662514291</c:v>
                </c:pt>
                <c:pt idx="4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2-470B-8328-CB9A3CAF17CA}"/>
            </c:ext>
          </c:extLst>
        </c:ser>
        <c:ser>
          <c:idx val="7"/>
          <c:order val="7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remarks'!$A$130:$A$131</c:f>
              <c:numCache>
                <c:formatCode>General</c:formatCode>
                <c:ptCount val="2"/>
                <c:pt idx="0">
                  <c:v>18</c:v>
                </c:pt>
                <c:pt idx="1">
                  <c:v>2.25</c:v>
                </c:pt>
              </c:numCache>
            </c:numRef>
          </c:xVal>
          <c:yVal>
            <c:numRef>
              <c:f>'Eq and remarks'!$B$130:$B$131</c:f>
              <c:numCache>
                <c:formatCode>General</c:formatCode>
                <c:ptCount val="2"/>
                <c:pt idx="0">
                  <c:v>-7.5</c:v>
                </c:pt>
                <c:pt idx="1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2-470B-8328-CB9A3CAF17CA}"/>
            </c:ext>
          </c:extLst>
        </c:ser>
        <c:ser>
          <c:idx val="8"/>
          <c:order val="8"/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'Eq and remarks'!$A$101:$A$104</c:f>
              <c:numCache>
                <c:formatCode>0.00</c:formatCode>
                <c:ptCount val="4"/>
                <c:pt idx="0">
                  <c:v>31.25</c:v>
                </c:pt>
                <c:pt idx="1">
                  <c:v>32.821429925054019</c:v>
                </c:pt>
                <c:pt idx="2" formatCode="General">
                  <c:v>35.944393865149749</c:v>
                </c:pt>
                <c:pt idx="3" formatCode="General">
                  <c:v>35.304269303760186</c:v>
                </c:pt>
              </c:numCache>
            </c:numRef>
          </c:xVal>
          <c:yVal>
            <c:numRef>
              <c:f>'Eq and remarks'!$B$101:$B$104</c:f>
              <c:numCache>
                <c:formatCode>General</c:formatCode>
                <c:ptCount val="4"/>
                <c:pt idx="0">
                  <c:v>2.5256303423709436</c:v>
                </c:pt>
                <c:pt idx="1">
                  <c:v>3.5732502924069571</c:v>
                </c:pt>
                <c:pt idx="2">
                  <c:v>3.5732502924069571</c:v>
                </c:pt>
                <c:pt idx="3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E62-470B-8328-CB9A3CAF17CA}"/>
            </c:ext>
          </c:extLst>
        </c:ser>
        <c:ser>
          <c:idx val="9"/>
          <c:order val="9"/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'Eq and remarks'!$A$106:$A$108</c:f>
              <c:numCache>
                <c:formatCode>General</c:formatCode>
                <c:ptCount val="3"/>
                <c:pt idx="0">
                  <c:v>10.275</c:v>
                </c:pt>
                <c:pt idx="1">
                  <c:v>20.486554486443584</c:v>
                </c:pt>
                <c:pt idx="2" formatCode="0.00">
                  <c:v>32.821429925054019</c:v>
                </c:pt>
              </c:numCache>
            </c:numRef>
          </c:xVal>
          <c:yVal>
            <c:numRef>
              <c:f>'Eq and remarks'!$B$106:$B$108</c:f>
              <c:numCache>
                <c:formatCode>General</c:formatCode>
                <c:ptCount val="3"/>
                <c:pt idx="0">
                  <c:v>-4.6500000000000004</c:v>
                </c:pt>
                <c:pt idx="1">
                  <c:v>-4.6500000000000004</c:v>
                </c:pt>
                <c:pt idx="2">
                  <c:v>3.5732502924069571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E62-470B-8328-CB9A3CAF17CA}"/>
            </c:ext>
          </c:extLst>
        </c:ser>
        <c:ser>
          <c:idx val="10"/>
          <c:order val="10"/>
          <c:tx>
            <c:v>Recession for HsD and overload</c:v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'Eq and remarks'!$A$110:$A$111</c:f>
              <c:numCache>
                <c:formatCode>0.00</c:formatCode>
                <c:ptCount val="2"/>
                <c:pt idx="0">
                  <c:v>24.744068514397696</c:v>
                </c:pt>
                <c:pt idx="1">
                  <c:v>25.473516792619947</c:v>
                </c:pt>
              </c:numCache>
            </c:numRef>
          </c:xVal>
          <c:yVal>
            <c:numRef>
              <c:f>'Eq and remarks'!$B$110:$B$111</c:f>
              <c:numCache>
                <c:formatCode>0.00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E62-470B-8328-CB9A3CAF1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674368"/>
        <c:axId val="161676288"/>
      </c:scatterChart>
      <c:valAx>
        <c:axId val="16167436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crossAx val="161676288"/>
        <c:crosses val="autoZero"/>
        <c:crossBetween val="midCat"/>
      </c:valAx>
      <c:valAx>
        <c:axId val="161676288"/>
        <c:scaling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crossAx val="161674368"/>
        <c:crosses val="autoZero"/>
        <c:crossBetween val="midCat"/>
      </c:valAx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7.599319971367216E-2"/>
          <c:y val="9.827622898489043E-3"/>
          <c:w val="0.37309681460272015"/>
          <c:h val="0.27297128767994921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36740209454019E-2"/>
          <c:y val="4.9344493627016893E-2"/>
          <c:w val="0.92888631495320506"/>
          <c:h val="0.92353315835520455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remarks'!$E$90:$E$99</c:f>
              <c:numCache>
                <c:formatCode>General</c:formatCode>
                <c:ptCount val="10"/>
                <c:pt idx="0">
                  <c:v>0</c:v>
                </c:pt>
                <c:pt idx="1">
                  <c:v>2.25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 formatCode="0.00">
                  <c:v>19.799999999999997</c:v>
                </c:pt>
                <c:pt idx="6" formatCode="0.00">
                  <c:v>27.799999999999997</c:v>
                </c:pt>
                <c:pt idx="7">
                  <c:v>28.999999999999996</c:v>
                </c:pt>
                <c:pt idx="8">
                  <c:v>32.948046067497138</c:v>
                </c:pt>
                <c:pt idx="9" formatCode="0.00">
                  <c:v>34.148046067497134</c:v>
                </c:pt>
              </c:numCache>
            </c:numRef>
          </c:xVal>
          <c:yVal>
            <c:numRef>
              <c:f>'Eq and remarks'!$B$90:$B$99</c:f>
              <c:numCache>
                <c:formatCode>General</c:formatCode>
                <c:ptCount val="10"/>
                <c:pt idx="0">
                  <c:v>-9</c:v>
                </c:pt>
                <c:pt idx="1">
                  <c:v>-7.5</c:v>
                </c:pt>
                <c:pt idx="2">
                  <c:v>-7.5</c:v>
                </c:pt>
                <c:pt idx="3">
                  <c:v>-7.5</c:v>
                </c:pt>
                <c:pt idx="4">
                  <c:v>-7.5</c:v>
                </c:pt>
                <c:pt idx="5" formatCode="0.00">
                  <c:v>4</c:v>
                </c:pt>
                <c:pt idx="6" formatCode="0.00">
                  <c:v>4</c:v>
                </c:pt>
                <c:pt idx="7" formatCode="0.00">
                  <c:v>4.8</c:v>
                </c:pt>
                <c:pt idx="8" formatCode="0.00">
                  <c:v>4.8</c:v>
                </c:pt>
                <c:pt idx="9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FD-4964-8E3F-541DFF458310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remarks'!$A$113:$A$114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37.598046067497151</c:v>
                </c:pt>
              </c:numCache>
            </c:numRef>
          </c:xVal>
          <c:yVal>
            <c:numRef>
              <c:f>'Eq and remarks'!$B$113:$B$114</c:f>
              <c:numCache>
                <c:formatCode>General</c:formatCode>
                <c:ptCount val="2"/>
                <c:pt idx="0">
                  <c:v>-9</c:v>
                </c:pt>
                <c:pt idx="1">
                  <c:v>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FD-4964-8E3F-541DFF458310}"/>
            </c:ext>
          </c:extLst>
        </c:ser>
        <c:ser>
          <c:idx val="2"/>
          <c:order val="2"/>
          <c:tx>
            <c:v>Design water level DWL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 and remarks'!$A$116:$A$117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remarks'!$B$116:$B$117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FD-4964-8E3F-541DFF458310}"/>
            </c:ext>
          </c:extLst>
        </c:ser>
        <c:ser>
          <c:idx val="3"/>
          <c:order val="3"/>
          <c:tx>
            <c:v>Chart Datum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'Eq and remarks'!$A$119:$A$120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remarks'!$B$119:$B$120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FD-4964-8E3F-541DFF458310}"/>
            </c:ext>
          </c:extLst>
        </c:ser>
        <c:ser>
          <c:idx val="4"/>
          <c:order val="4"/>
          <c:tx>
            <c:v>Horizontal armour width Ah</c:v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'Eq and remarks'!$F$122:$F$123</c:f>
              <c:numCache>
                <c:formatCode>0.0</c:formatCode>
                <c:ptCount val="2"/>
                <c:pt idx="0" formatCode="General">
                  <c:v>16.2</c:v>
                </c:pt>
                <c:pt idx="1">
                  <c:v>28.2</c:v>
                </c:pt>
              </c:numCache>
            </c:numRef>
          </c:xVal>
          <c:yVal>
            <c:numRef>
              <c:f>'Eq and remarks'!$B$122:$B$123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FD-4964-8E3F-541DFF458310}"/>
            </c:ext>
          </c:extLst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remarks'!$F$125:$F$128</c:f>
              <c:numCache>
                <c:formatCode>General</c:formatCode>
                <c:ptCount val="4"/>
                <c:pt idx="0">
                  <c:v>35.304269303760186</c:v>
                </c:pt>
                <c:pt idx="1">
                  <c:v>32.700000000000003</c:v>
                </c:pt>
                <c:pt idx="2" formatCode="0.0">
                  <c:v>28.2</c:v>
                </c:pt>
                <c:pt idx="3">
                  <c:v>15.45</c:v>
                </c:pt>
              </c:numCache>
            </c:numRef>
          </c:xVal>
          <c:yVal>
            <c:numRef>
              <c:f>'Eq and remarks'!$B$125:$B$128</c:f>
              <c:numCache>
                <c:formatCode>0.00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 formatCode="General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FD-4964-8E3F-541DFF458310}"/>
            </c:ext>
          </c:extLst>
        </c:ser>
        <c:ser>
          <c:idx val="7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remarks'!$F$130:$F$131</c:f>
              <c:numCache>
                <c:formatCode>General</c:formatCode>
                <c:ptCount val="2"/>
                <c:pt idx="0">
                  <c:v>15.45</c:v>
                </c:pt>
                <c:pt idx="1">
                  <c:v>2.25</c:v>
                </c:pt>
              </c:numCache>
            </c:numRef>
          </c:xVal>
          <c:yVal>
            <c:numRef>
              <c:f>'Eq and remarks'!$B$130:$B$131</c:f>
              <c:numCache>
                <c:formatCode>General</c:formatCode>
                <c:ptCount val="2"/>
                <c:pt idx="0">
                  <c:v>-7.5</c:v>
                </c:pt>
                <c:pt idx="1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FD-4964-8E3F-541DFF458310}"/>
            </c:ext>
          </c:extLst>
        </c:ser>
        <c:ser>
          <c:idx val="8"/>
          <c:order val="7"/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'Eq and remarks'!$H$100:$H$104</c:f>
              <c:numCache>
                <c:formatCode>0.00</c:formatCode>
                <c:ptCount val="5"/>
                <c:pt idx="0" formatCode="General">
                  <c:v>12.84</c:v>
                </c:pt>
                <c:pt idx="1">
                  <c:v>22.658720633563725</c:v>
                </c:pt>
                <c:pt idx="2" formatCode="General">
                  <c:v>29.597686082940868</c:v>
                </c:pt>
                <c:pt idx="3" formatCode="General">
                  <c:v>32.218052091381502</c:v>
                </c:pt>
                <c:pt idx="4" formatCode="General">
                  <c:v>30.457017540758645</c:v>
                </c:pt>
              </c:numCache>
            </c:numRef>
          </c:xVal>
          <c:yVal>
            <c:numRef>
              <c:f>'Eq and remarks'!$I$100:$I$104</c:f>
              <c:numCache>
                <c:formatCode>General</c:formatCode>
                <c:ptCount val="5"/>
                <c:pt idx="0">
                  <c:v>-1.7999999999999998</c:v>
                </c:pt>
                <c:pt idx="1">
                  <c:v>-1.7999999999999998</c:v>
                </c:pt>
                <c:pt idx="2">
                  <c:v>2.8259769662514289</c:v>
                </c:pt>
                <c:pt idx="3">
                  <c:v>2.8259769662514289</c:v>
                </c:pt>
                <c:pt idx="4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FD-4964-8E3F-541DFF458310}"/>
            </c:ext>
          </c:extLst>
        </c:ser>
        <c:ser>
          <c:idx val="10"/>
          <c:order val="8"/>
          <c:tx>
            <c:v>Recession for HsD and overload</c:v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'Eq and remarks'!$F$110:$F$111</c:f>
              <c:numCache>
                <c:formatCode>0.00</c:formatCode>
                <c:ptCount val="2"/>
                <c:pt idx="0">
                  <c:v>21.294068514397694</c:v>
                </c:pt>
                <c:pt idx="1">
                  <c:v>22.023516792619944</c:v>
                </c:pt>
              </c:numCache>
            </c:numRef>
          </c:xVal>
          <c:yVal>
            <c:numRef>
              <c:f>'Eq and remarks'!$B$110:$B$111</c:f>
              <c:numCache>
                <c:formatCode>0.00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FD-4964-8E3F-541DFF45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27936"/>
        <c:axId val="162334208"/>
      </c:scatterChart>
      <c:valAx>
        <c:axId val="1623279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crossAx val="162334208"/>
        <c:crosses val="autoZero"/>
        <c:crossBetween val="midCat"/>
      </c:valAx>
      <c:valAx>
        <c:axId val="162334208"/>
        <c:scaling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crossAx val="162327936"/>
        <c:crosses val="autoZero"/>
        <c:crossBetween val="midCat"/>
      </c:valAx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7.5993149919292471E-2"/>
          <c:y val="5.3232935402458314E-3"/>
          <c:w val="0.38135875502608868"/>
          <c:h val="0.25312073633264326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MA: two</a:t>
            </a:r>
            <a:r>
              <a:rPr lang="nl-NL" baseline="0"/>
              <a:t> classes</a:t>
            </a:r>
            <a:endParaRPr lang="nl-NL"/>
          </a:p>
        </c:rich>
      </c:tx>
      <c:layout>
        <c:manualLayout>
          <c:xMode val="edge"/>
          <c:yMode val="edge"/>
          <c:x val="0.4864686468646866"/>
          <c:y val="2.07039404978531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8525275803939143E-2"/>
          <c:y val="4.9344531933508518E-2"/>
          <c:w val="0.87793141710944866"/>
          <c:h val="0.92353315835520455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remarks'!$E$90:$E$99</c:f>
              <c:numCache>
                <c:formatCode>General</c:formatCode>
                <c:ptCount val="10"/>
                <c:pt idx="0">
                  <c:v>0</c:v>
                </c:pt>
                <c:pt idx="1">
                  <c:v>2.25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 formatCode="0.00">
                  <c:v>19.799999999999997</c:v>
                </c:pt>
                <c:pt idx="6" formatCode="0.00">
                  <c:v>27.799999999999997</c:v>
                </c:pt>
                <c:pt idx="7">
                  <c:v>28.999999999999996</c:v>
                </c:pt>
                <c:pt idx="8">
                  <c:v>32.948046067497138</c:v>
                </c:pt>
                <c:pt idx="9" formatCode="0.00">
                  <c:v>34.148046067497134</c:v>
                </c:pt>
              </c:numCache>
            </c:numRef>
          </c:xVal>
          <c:yVal>
            <c:numRef>
              <c:f>'Eq and remarks'!$B$90:$B$99</c:f>
              <c:numCache>
                <c:formatCode>General</c:formatCode>
                <c:ptCount val="10"/>
                <c:pt idx="0">
                  <c:v>-9</c:v>
                </c:pt>
                <c:pt idx="1">
                  <c:v>-7.5</c:v>
                </c:pt>
                <c:pt idx="2">
                  <c:v>-7.5</c:v>
                </c:pt>
                <c:pt idx="3">
                  <c:v>-7.5</c:v>
                </c:pt>
                <c:pt idx="4">
                  <c:v>-7.5</c:v>
                </c:pt>
                <c:pt idx="5" formatCode="0.00">
                  <c:v>4</c:v>
                </c:pt>
                <c:pt idx="6" formatCode="0.00">
                  <c:v>4</c:v>
                </c:pt>
                <c:pt idx="7" formatCode="0.00">
                  <c:v>4.8</c:v>
                </c:pt>
                <c:pt idx="8" formatCode="0.00">
                  <c:v>4.8</c:v>
                </c:pt>
                <c:pt idx="9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44-431D-B1CA-B61D1C3DA870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remarks'!$A$113:$A$114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37.598046067497151</c:v>
                </c:pt>
              </c:numCache>
            </c:numRef>
          </c:xVal>
          <c:yVal>
            <c:numRef>
              <c:f>'Eq and remarks'!$B$113:$B$114</c:f>
              <c:numCache>
                <c:formatCode>General</c:formatCode>
                <c:ptCount val="2"/>
                <c:pt idx="0">
                  <c:v>-9</c:v>
                </c:pt>
                <c:pt idx="1">
                  <c:v>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44-431D-B1CA-B61D1C3DA870}"/>
            </c:ext>
          </c:extLst>
        </c:ser>
        <c:ser>
          <c:idx val="2"/>
          <c:order val="2"/>
          <c:tx>
            <c:v>Design water level DWL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'Eq and remarks'!$A$116:$A$117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remarks'!$B$116:$B$117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44-431D-B1CA-B61D1C3DA870}"/>
            </c:ext>
          </c:extLst>
        </c:ser>
        <c:ser>
          <c:idx val="3"/>
          <c:order val="3"/>
          <c:tx>
            <c:v>Chart Datum</c:v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xVal>
            <c:numRef>
              <c:f>'Eq and remarks'!$A$119:$A$120</c:f>
              <c:numCache>
                <c:formatCode>General</c:formatCode>
                <c:ptCount val="2"/>
                <c:pt idx="0">
                  <c:v>3</c:v>
                </c:pt>
                <c:pt idx="1">
                  <c:v>14.625</c:v>
                </c:pt>
              </c:numCache>
            </c:numRef>
          </c:xVal>
          <c:yVal>
            <c:numRef>
              <c:f>'Eq and remarks'!$B$119:$B$120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44-431D-B1CA-B61D1C3DA870}"/>
            </c:ext>
          </c:extLst>
        </c:ser>
        <c:ser>
          <c:idx val="4"/>
          <c:order val="4"/>
          <c:tx>
            <c:v>Horizontal armour width Ah</c:v>
          </c:tx>
          <c:spPr>
            <a:ln>
              <a:noFill/>
            </a:ln>
          </c:spPr>
          <c:marker>
            <c:symbol val="circle"/>
            <c:size val="8"/>
          </c:marker>
          <c:xVal>
            <c:numRef>
              <c:f>'Eq and remarks'!$F$122:$F$123</c:f>
              <c:numCache>
                <c:formatCode>0.0</c:formatCode>
                <c:ptCount val="2"/>
                <c:pt idx="0" formatCode="General">
                  <c:v>16.2</c:v>
                </c:pt>
                <c:pt idx="1">
                  <c:v>28.2</c:v>
                </c:pt>
              </c:numCache>
            </c:numRef>
          </c:xVal>
          <c:yVal>
            <c:numRef>
              <c:f>'Eq and remarks'!$B$122:$B$123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44-431D-B1CA-B61D1C3DA870}"/>
            </c:ext>
          </c:extLst>
        </c:ser>
        <c:ser>
          <c:idx val="5"/>
          <c:order val="5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remarks'!$F$125:$F$128</c:f>
              <c:numCache>
                <c:formatCode>General</c:formatCode>
                <c:ptCount val="4"/>
                <c:pt idx="0">
                  <c:v>35.304269303760186</c:v>
                </c:pt>
                <c:pt idx="1">
                  <c:v>32.700000000000003</c:v>
                </c:pt>
                <c:pt idx="2" formatCode="0.0">
                  <c:v>28.2</c:v>
                </c:pt>
                <c:pt idx="3">
                  <c:v>15.45</c:v>
                </c:pt>
              </c:numCache>
            </c:numRef>
          </c:xVal>
          <c:yVal>
            <c:numRef>
              <c:f>'Eq and remarks'!$B$125:$B$128</c:f>
              <c:numCache>
                <c:formatCode>0.00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 formatCode="General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44-431D-B1CA-B61D1C3DA870}"/>
            </c:ext>
          </c:extLst>
        </c:ser>
        <c:ser>
          <c:idx val="7"/>
          <c:order val="6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'Eq and remarks'!$F$130:$F$131</c:f>
              <c:numCache>
                <c:formatCode>General</c:formatCode>
                <c:ptCount val="2"/>
                <c:pt idx="0">
                  <c:v>15.45</c:v>
                </c:pt>
                <c:pt idx="1">
                  <c:v>2.25</c:v>
                </c:pt>
              </c:numCache>
            </c:numRef>
          </c:xVal>
          <c:yVal>
            <c:numRef>
              <c:f>'Eq and remarks'!$B$130:$B$131</c:f>
              <c:numCache>
                <c:formatCode>General</c:formatCode>
                <c:ptCount val="2"/>
                <c:pt idx="0">
                  <c:v>-7.5</c:v>
                </c:pt>
                <c:pt idx="1">
                  <c:v>-7.5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44-431D-B1CA-B61D1C3DA870}"/>
            </c:ext>
          </c:extLst>
        </c:ser>
        <c:ser>
          <c:idx val="8"/>
          <c:order val="7"/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'Eq and remarks'!$H$100:$H$104</c:f>
              <c:numCache>
                <c:formatCode>0.00</c:formatCode>
                <c:ptCount val="5"/>
                <c:pt idx="0" formatCode="General">
                  <c:v>12.84</c:v>
                </c:pt>
                <c:pt idx="1">
                  <c:v>22.658720633563725</c:v>
                </c:pt>
                <c:pt idx="2" formatCode="General">
                  <c:v>29.597686082940868</c:v>
                </c:pt>
                <c:pt idx="3" formatCode="General">
                  <c:v>32.218052091381502</c:v>
                </c:pt>
                <c:pt idx="4" formatCode="General">
                  <c:v>30.457017540758645</c:v>
                </c:pt>
              </c:numCache>
            </c:numRef>
          </c:xVal>
          <c:yVal>
            <c:numRef>
              <c:f>'Eq and remarks'!$I$100:$I$104</c:f>
              <c:numCache>
                <c:formatCode>General</c:formatCode>
                <c:ptCount val="5"/>
                <c:pt idx="0">
                  <c:v>-1.7999999999999998</c:v>
                </c:pt>
                <c:pt idx="1">
                  <c:v>-1.7999999999999998</c:v>
                </c:pt>
                <c:pt idx="2">
                  <c:v>2.8259769662514289</c:v>
                </c:pt>
                <c:pt idx="3">
                  <c:v>2.8259769662514289</c:v>
                </c:pt>
                <c:pt idx="4" formatCode="0.0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44-431D-B1CA-B61D1C3DA870}"/>
            </c:ext>
          </c:extLst>
        </c:ser>
        <c:ser>
          <c:idx val="10"/>
          <c:order val="8"/>
          <c:tx>
            <c:v>Recession for HsD and overload</c:v>
          </c:tx>
          <c:spPr>
            <a:ln>
              <a:noFill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'Eq and remarks'!$F$110:$F$111</c:f>
              <c:numCache>
                <c:formatCode>0.00</c:formatCode>
                <c:ptCount val="2"/>
                <c:pt idx="0">
                  <c:v>21.294068514397694</c:v>
                </c:pt>
                <c:pt idx="1">
                  <c:v>22.023516792619944</c:v>
                </c:pt>
              </c:numCache>
            </c:numRef>
          </c:xVal>
          <c:yVal>
            <c:numRef>
              <c:f>'Eq and remarks'!$B$110:$B$111</c:f>
              <c:numCache>
                <c:formatCode>0.00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044-431D-B1CA-B61D1C3D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14208"/>
        <c:axId val="162824576"/>
      </c:scatterChart>
      <c:valAx>
        <c:axId val="16281420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crossAx val="162824576"/>
        <c:crosses val="autoZero"/>
        <c:crossBetween val="midCat"/>
      </c:valAx>
      <c:valAx>
        <c:axId val="162824576"/>
        <c:scaling>
          <c:orientation val="minMax"/>
        </c:scaling>
        <c:delete val="0"/>
        <c:axPos val="l"/>
        <c:numFmt formatCode="General" sourceLinked="1"/>
        <c:majorTickMark val="in"/>
        <c:minorTickMark val="in"/>
        <c:tickLblPos val="nextTo"/>
        <c:crossAx val="162814208"/>
        <c:crosses val="autoZero"/>
        <c:crossBetween val="midCat"/>
      </c:valAx>
    </c:plotArea>
    <c:legend>
      <c:legendPos val="l"/>
      <c:legendEntry>
        <c:idx val="0"/>
        <c:delete val="1"/>
      </c:legendEntry>
      <c:legendEntry>
        <c:idx val="1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7.5993149919292471E-2"/>
          <c:y val="5.3232935402458314E-3"/>
          <c:w val="0.38135875502608868"/>
          <c:h val="0.25312073633264326"/>
        </c:manualLayout>
      </c:layout>
      <c:overlay val="1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1165860</xdr:colOff>
      <xdr:row>29</xdr:row>
      <xdr:rowOff>0</xdr:rowOff>
    </xdr:from>
    <xdr:to>
      <xdr:col>11</xdr:col>
      <xdr:colOff>594360</xdr:colOff>
      <xdr:row>45</xdr:row>
      <xdr:rowOff>160020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1120140</xdr:colOff>
      <xdr:row>47</xdr:row>
      <xdr:rowOff>160020</xdr:rowOff>
    </xdr:from>
    <xdr:to>
      <xdr:col>11</xdr:col>
      <xdr:colOff>577215</xdr:colOff>
      <xdr:row>64</xdr:row>
      <xdr:rowOff>95249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35</xdr:row>
      <xdr:rowOff>57150</xdr:rowOff>
    </xdr:from>
    <xdr:to>
      <xdr:col>9</xdr:col>
      <xdr:colOff>292100</xdr:colOff>
      <xdr:row>39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7505700"/>
          <a:ext cx="5730875" cy="8382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142875</xdr:colOff>
      <xdr:row>39</xdr:row>
      <xdr:rowOff>95250</xdr:rowOff>
    </xdr:from>
    <xdr:to>
      <xdr:col>9</xdr:col>
      <xdr:colOff>311150</xdr:colOff>
      <xdr:row>41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15050" y="8305800"/>
          <a:ext cx="5730875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114300</xdr:colOff>
      <xdr:row>25</xdr:row>
      <xdr:rowOff>0</xdr:rowOff>
    </xdr:from>
    <xdr:to>
      <xdr:col>9</xdr:col>
      <xdr:colOff>282575</xdr:colOff>
      <xdr:row>26</xdr:row>
      <xdr:rowOff>133350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86475" y="5314950"/>
          <a:ext cx="5730875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104775</xdr:colOff>
      <xdr:row>26</xdr:row>
      <xdr:rowOff>171450</xdr:rowOff>
    </xdr:from>
    <xdr:to>
      <xdr:col>9</xdr:col>
      <xdr:colOff>273050</xdr:colOff>
      <xdr:row>30</xdr:row>
      <xdr:rowOff>152400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76950" y="5676900"/>
          <a:ext cx="5730875" cy="857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57150</xdr:colOff>
      <xdr:row>69</xdr:row>
      <xdr:rowOff>142875</xdr:rowOff>
    </xdr:from>
    <xdr:to>
      <xdr:col>10</xdr:col>
      <xdr:colOff>438150</xdr:colOff>
      <xdr:row>76</xdr:row>
      <xdr:rowOff>76200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29325" y="14544675"/>
          <a:ext cx="6553200" cy="14954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104775</xdr:colOff>
      <xdr:row>76</xdr:row>
      <xdr:rowOff>152400</xdr:rowOff>
    </xdr:from>
    <xdr:to>
      <xdr:col>4</xdr:col>
      <xdr:colOff>279400</xdr:colOff>
      <xdr:row>78</xdr:row>
      <xdr:rowOff>0</xdr:rowOff>
    </xdr:to>
    <xdr:pic>
      <xdr:nvPicPr>
        <xdr:cNvPr id="8" name="Picture 9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76950" y="16116300"/>
          <a:ext cx="26797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40</xdr:row>
      <xdr:rowOff>171450</xdr:rowOff>
    </xdr:from>
    <xdr:to>
      <xdr:col>9</xdr:col>
      <xdr:colOff>311150</xdr:colOff>
      <xdr:row>42</xdr:row>
      <xdr:rowOff>76200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05525" y="8610600"/>
          <a:ext cx="57404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3</xdr:col>
      <xdr:colOff>510540</xdr:colOff>
      <xdr:row>52</xdr:row>
      <xdr:rowOff>91440</xdr:rowOff>
    </xdr:from>
    <xdr:to>
      <xdr:col>13</xdr:col>
      <xdr:colOff>327660</xdr:colOff>
      <xdr:row>63</xdr:row>
      <xdr:rowOff>68580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9340" y="9631680"/>
          <a:ext cx="5913120" cy="200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441960</xdr:colOff>
      <xdr:row>116</xdr:row>
      <xdr:rowOff>15240</xdr:rowOff>
    </xdr:from>
    <xdr:to>
      <xdr:col>23</xdr:col>
      <xdr:colOff>470535</xdr:colOff>
      <xdr:row>132</xdr:row>
      <xdr:rowOff>125729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orldscientific.com/worldscibooks/10.1142/993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D20"/>
  <sheetViews>
    <sheetView showGridLines="0" tabSelected="1" topLeftCell="A7" workbookViewId="0">
      <selection activeCell="B15" sqref="B15"/>
    </sheetView>
  </sheetViews>
  <sheetFormatPr defaultRowHeight="14.4" x14ac:dyDescent="0.3"/>
  <sheetData>
    <row r="8" spans="2:4" ht="18" x14ac:dyDescent="0.35">
      <c r="B8" s="65" t="s">
        <v>126</v>
      </c>
    </row>
    <row r="10" spans="2:4" x14ac:dyDescent="0.3">
      <c r="B10" t="s">
        <v>128</v>
      </c>
    </row>
    <row r="11" spans="2:4" x14ac:dyDescent="0.3">
      <c r="D11" t="s">
        <v>127</v>
      </c>
    </row>
    <row r="12" spans="2:4" x14ac:dyDescent="0.3">
      <c r="D12" t="s">
        <v>129</v>
      </c>
    </row>
    <row r="13" spans="2:4" x14ac:dyDescent="0.3">
      <c r="D13" s="66" t="s">
        <v>130</v>
      </c>
    </row>
    <row r="15" spans="2:4" x14ac:dyDescent="0.3">
      <c r="B15" t="s">
        <v>135</v>
      </c>
    </row>
    <row r="17" spans="2:3" x14ac:dyDescent="0.3">
      <c r="B17" t="s">
        <v>131</v>
      </c>
    </row>
    <row r="18" spans="2:3" x14ac:dyDescent="0.3">
      <c r="C18" t="s">
        <v>132</v>
      </c>
    </row>
    <row r="19" spans="2:3" x14ac:dyDescent="0.3">
      <c r="C19" t="s">
        <v>133</v>
      </c>
    </row>
    <row r="20" spans="2:3" x14ac:dyDescent="0.3">
      <c r="C20" t="s">
        <v>134</v>
      </c>
    </row>
  </sheetData>
  <hyperlinks>
    <hyperlink ref="D13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7</v>
      </c>
      <c r="C2" t="s">
        <v>3</v>
      </c>
      <c r="E2" t="s">
        <v>4</v>
      </c>
      <c r="F2" s="16">
        <f>2*PI()*B2/9.81/B3^2</f>
        <v>3.990223026236215E-2</v>
      </c>
      <c r="G2" s="2" t="s">
        <v>5</v>
      </c>
      <c r="I2" t="s">
        <v>40</v>
      </c>
      <c r="J2" s="4">
        <f>B6-0.4*B2</f>
        <v>-1.8000000000000003</v>
      </c>
      <c r="K2" t="s">
        <v>10</v>
      </c>
    </row>
    <row r="3" spans="1:11" ht="15.6" x14ac:dyDescent="0.35">
      <c r="A3" t="s">
        <v>6</v>
      </c>
      <c r="B3" s="58">
        <v>10.6</v>
      </c>
      <c r="C3" t="s">
        <v>7</v>
      </c>
      <c r="E3" t="s">
        <v>22</v>
      </c>
      <c r="F3" s="3">
        <f>(B14-B13)/B13</f>
        <v>1.6213592233009708</v>
      </c>
      <c r="G3" s="2" t="s">
        <v>5</v>
      </c>
      <c r="I3" t="s">
        <v>42</v>
      </c>
      <c r="J3">
        <f>B7-0.4*B8</f>
        <v>-2.6</v>
      </c>
      <c r="K3" t="s">
        <v>10</v>
      </c>
    </row>
    <row r="4" spans="1:11" ht="15.6" x14ac:dyDescent="0.35">
      <c r="A4" t="s">
        <v>8</v>
      </c>
      <c r="B4" s="58">
        <v>8</v>
      </c>
      <c r="C4" t="s">
        <v>3</v>
      </c>
      <c r="E4" t="s">
        <v>90</v>
      </c>
      <c r="F4" s="4">
        <f>B17+(B18-B17)/2</f>
        <v>27.5</v>
      </c>
      <c r="G4" t="s">
        <v>19</v>
      </c>
      <c r="I4" s="58" t="s">
        <v>103</v>
      </c>
      <c r="J4" s="58">
        <v>-1.8</v>
      </c>
      <c r="K4" t="s">
        <v>10</v>
      </c>
    </row>
    <row r="5" spans="1:11" ht="15.6" x14ac:dyDescent="0.35">
      <c r="A5" t="s">
        <v>9</v>
      </c>
      <c r="B5" s="58">
        <v>4</v>
      </c>
      <c r="C5" t="s">
        <v>10</v>
      </c>
      <c r="E5" t="s">
        <v>91</v>
      </c>
      <c r="F5" s="3">
        <f>(F4*1000/B14)^(1/3)</f>
        <v>2.1676524114189784</v>
      </c>
      <c r="G5" t="s">
        <v>3</v>
      </c>
      <c r="I5" s="5" t="s">
        <v>94</v>
      </c>
      <c r="J5" s="5">
        <f>B7-0.6*B8</f>
        <v>-3.9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1.9917239713884132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Hardly reshaping</v>
      </c>
      <c r="I7" s="1" t="s">
        <v>68</v>
      </c>
    </row>
    <row r="8" spans="1:11" ht="15.6" x14ac:dyDescent="0.35">
      <c r="A8" t="s">
        <v>12</v>
      </c>
      <c r="B8" s="58">
        <v>6.5</v>
      </c>
      <c r="C8" t="s">
        <v>3</v>
      </c>
      <c r="E8" t="s">
        <v>92</v>
      </c>
      <c r="F8" s="21">
        <f>IF(B21="",2,3)</f>
        <v>3</v>
      </c>
      <c r="I8" t="s">
        <v>36</v>
      </c>
      <c r="J8" s="4">
        <f>1.2*B2+B5</f>
        <v>12.4</v>
      </c>
      <c r="K8" t="s">
        <v>10</v>
      </c>
    </row>
    <row r="9" spans="1:11" ht="15.6" x14ac:dyDescent="0.35">
      <c r="A9" t="s">
        <v>29</v>
      </c>
      <c r="B9" s="58">
        <v>2</v>
      </c>
      <c r="C9" t="s">
        <v>10</v>
      </c>
      <c r="E9" t="s">
        <v>73</v>
      </c>
      <c r="F9" s="3">
        <f>1.6*(F6-1)^2.5*F5</f>
        <v>3.3969304345330129</v>
      </c>
      <c r="G9" t="s">
        <v>3</v>
      </c>
      <c r="I9" t="s">
        <v>37</v>
      </c>
      <c r="J9" s="4">
        <f>1.4*B2+B5</f>
        <v>13.799999999999999</v>
      </c>
      <c r="K9" t="s">
        <v>10</v>
      </c>
    </row>
    <row r="10" spans="1:11" ht="15.6" x14ac:dyDescent="0.35">
      <c r="A10" t="s">
        <v>71</v>
      </c>
      <c r="B10" s="58">
        <v>-18</v>
      </c>
      <c r="C10" t="s">
        <v>10</v>
      </c>
      <c r="E10" t="s">
        <v>74</v>
      </c>
      <c r="F10" s="3">
        <f>(1.6*F5*(F6*B4/B2-1)^2.5-F9)/2+F9</f>
        <v>4.8894453074733137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0.37901139239079895</v>
      </c>
    </row>
    <row r="11" spans="1:11" ht="15.6" x14ac:dyDescent="0.35">
      <c r="A11" t="s">
        <v>14</v>
      </c>
      <c r="B11" s="59">
        <v>10</v>
      </c>
      <c r="C11" t="s">
        <v>106</v>
      </c>
      <c r="E11" t="s">
        <v>118</v>
      </c>
      <c r="F11" s="20">
        <f>((B19+(B20-B19)/2)*1000/B14)^(1/3)</f>
        <v>1.7710976153043518</v>
      </c>
      <c r="G11" t="s">
        <v>3</v>
      </c>
      <c r="I11" t="s">
        <v>84</v>
      </c>
      <c r="J11" s="19">
        <f>(-1*LN(B11/1000/0.1035/(9.81*B2^3)^0.5))^(1/1.3)*B2*J10/(1.35)+B5</f>
        <v>12.192703090956657</v>
      </c>
      <c r="K11" t="s">
        <v>10</v>
      </c>
    </row>
    <row r="12" spans="1:11" ht="15.6" x14ac:dyDescent="0.35">
      <c r="A12" t="s">
        <v>15</v>
      </c>
      <c r="B12" s="59" t="s">
        <v>124</v>
      </c>
      <c r="C12" t="s">
        <v>106</v>
      </c>
      <c r="E12" t="s">
        <v>93</v>
      </c>
      <c r="F12" s="11">
        <f>IF(F8=2,"No Class III",((B21+(B22-B21)/2)*1000/B14)^(1/3))</f>
        <v>1.3737617666028523</v>
      </c>
      <c r="G12" t="str">
        <f>IF(F8=2,"","m")</f>
        <v>m</v>
      </c>
      <c r="I12" t="s">
        <v>85</v>
      </c>
      <c r="J12" s="19"/>
      <c r="K12" t="s">
        <v>10</v>
      </c>
    </row>
    <row r="13" spans="1:11" ht="16.2" x14ac:dyDescent="0.3">
      <c r="A13" t="s">
        <v>16</v>
      </c>
      <c r="B13" s="58">
        <v>1030</v>
      </c>
      <c r="C13" t="s">
        <v>18</v>
      </c>
      <c r="I13" s="58" t="s">
        <v>104</v>
      </c>
      <c r="J13" s="62">
        <v>12.5</v>
      </c>
      <c r="K13" t="s">
        <v>10</v>
      </c>
    </row>
    <row r="14" spans="1:11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20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16.984652172665065</v>
      </c>
      <c r="G16" t="s">
        <v>3</v>
      </c>
      <c r="I16" t="s">
        <v>97</v>
      </c>
      <c r="J16" s="11">
        <f>IF(F8=3,B10+1.5+2*F12,B10+1.5+2*F11)</f>
        <v>-13.752476466794295</v>
      </c>
      <c r="K16" t="s">
        <v>10</v>
      </c>
    </row>
    <row r="17" spans="1:11" ht="15.6" x14ac:dyDescent="0.35">
      <c r="A17" t="s">
        <v>114</v>
      </c>
      <c r="B17" s="58">
        <v>20</v>
      </c>
      <c r="C17" t="s">
        <v>19</v>
      </c>
      <c r="E17" t="s">
        <v>61</v>
      </c>
      <c r="F17" s="3">
        <f>MAX(F9+F5,3*F5)</f>
        <v>6.5029572342569351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35</v>
      </c>
      <c r="C18" t="s">
        <v>19</v>
      </c>
      <c r="E18" t="s">
        <v>28</v>
      </c>
      <c r="F18">
        <f>B5+0.6*B2</f>
        <v>8.1999999999999993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10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-8.0316353278407551</v>
      </c>
      <c r="K19" t="s">
        <v>10</v>
      </c>
    </row>
    <row r="20" spans="1:11" ht="15.6" x14ac:dyDescent="0.35">
      <c r="A20" t="s">
        <v>117</v>
      </c>
      <c r="B20" s="58">
        <v>20</v>
      </c>
      <c r="C20" t="s">
        <v>19</v>
      </c>
      <c r="E20" t="s">
        <v>31</v>
      </c>
      <c r="F20">
        <f>B9+F19</f>
        <v>3</v>
      </c>
      <c r="G20" t="s">
        <v>10</v>
      </c>
      <c r="I20" t="s">
        <v>46</v>
      </c>
      <c r="J20" s="12">
        <f>(B6-J19)/(IF(F8=3,F12,F11))</f>
        <v>6.5743825075106752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>
        <v>4</v>
      </c>
      <c r="C21" t="s">
        <v>19</v>
      </c>
      <c r="E21" t="s">
        <v>32</v>
      </c>
      <c r="F21" s="3">
        <f>F20+2*F5</f>
        <v>7.3353048228379567</v>
      </c>
      <c r="G21" t="s">
        <v>10</v>
      </c>
      <c r="I21" t="s">
        <v>47</v>
      </c>
      <c r="J21" s="11">
        <f>(B6-J19)/(B6-B10)</f>
        <v>0.4753492277810924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>
        <v>10</v>
      </c>
      <c r="C22" t="s">
        <v>19</v>
      </c>
      <c r="E22" s="58" t="s">
        <v>100</v>
      </c>
      <c r="F22" s="60">
        <v>17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7.5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-8.3627061598076224</v>
      </c>
      <c r="K24" t="s">
        <v>10</v>
      </c>
    </row>
    <row r="25" spans="1:11" ht="15.6" x14ac:dyDescent="0.35">
      <c r="E25" s="6" t="s">
        <v>26</v>
      </c>
      <c r="F25" s="4">
        <f>2*F6*B2</f>
        <v>27.884135599437784</v>
      </c>
      <c r="G25" t="s">
        <v>3</v>
      </c>
      <c r="I25" t="s">
        <v>46</v>
      </c>
      <c r="J25" s="12">
        <f>(B6-J24)/(IF(F8=3,F12,F11))</f>
        <v>6.8153783191684463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28</v>
      </c>
      <c r="G26" t="s">
        <v>48</v>
      </c>
      <c r="I26" t="s">
        <v>47</v>
      </c>
      <c r="J26" s="11">
        <f>(B6-J24)/(B6-B10)</f>
        <v>0.4927740084109275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-8</v>
      </c>
      <c r="K27" t="s">
        <v>10</v>
      </c>
    </row>
    <row r="28" spans="1:11" ht="15.6" x14ac:dyDescent="0.35">
      <c r="I28" s="58" t="s">
        <v>105</v>
      </c>
      <c r="J28" s="58">
        <v>1.5</v>
      </c>
      <c r="K28" s="2" t="s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8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7</v>
      </c>
      <c r="C2" t="s">
        <v>3</v>
      </c>
      <c r="E2" t="s">
        <v>4</v>
      </c>
      <c r="F2" s="16">
        <f>2*PI()*B2/9.81/B3^2</f>
        <v>3.990223026236215E-2</v>
      </c>
      <c r="G2" s="2" t="s">
        <v>5</v>
      </c>
      <c r="I2" t="s">
        <v>40</v>
      </c>
      <c r="J2" s="4">
        <f>B6-0.4*B2</f>
        <v>-1.8000000000000003</v>
      </c>
      <c r="K2" t="s">
        <v>10</v>
      </c>
    </row>
    <row r="3" spans="1:11" ht="15.6" x14ac:dyDescent="0.35">
      <c r="A3" t="s">
        <v>6</v>
      </c>
      <c r="B3" s="58">
        <v>10.6</v>
      </c>
      <c r="C3" t="s">
        <v>7</v>
      </c>
      <c r="E3" t="s">
        <v>22</v>
      </c>
      <c r="F3" s="3">
        <f>(B14-B13)/B13</f>
        <v>1.6213592233009708</v>
      </c>
      <c r="G3" s="2" t="s">
        <v>5</v>
      </c>
      <c r="I3" t="s">
        <v>42</v>
      </c>
      <c r="J3">
        <f>B7-0.4*B8</f>
        <v>-2.6</v>
      </c>
      <c r="K3" t="s">
        <v>10</v>
      </c>
    </row>
    <row r="4" spans="1:11" ht="15.6" x14ac:dyDescent="0.35">
      <c r="A4" t="s">
        <v>8</v>
      </c>
      <c r="B4" s="58">
        <v>8</v>
      </c>
      <c r="C4" t="s">
        <v>3</v>
      </c>
      <c r="E4" t="s">
        <v>90</v>
      </c>
      <c r="F4" s="4">
        <f>B17+(B18-B17)/2</f>
        <v>15</v>
      </c>
      <c r="G4" t="s">
        <v>19</v>
      </c>
      <c r="I4" s="58" t="s">
        <v>103</v>
      </c>
      <c r="J4" s="58">
        <v>-2.6</v>
      </c>
      <c r="K4" t="s">
        <v>10</v>
      </c>
    </row>
    <row r="5" spans="1:11" ht="15.6" x14ac:dyDescent="0.35">
      <c r="A5" t="s">
        <v>9</v>
      </c>
      <c r="B5" s="58">
        <v>4</v>
      </c>
      <c r="C5" t="s">
        <v>10</v>
      </c>
      <c r="E5" t="s">
        <v>91</v>
      </c>
      <c r="F5" s="3">
        <f>(F4*1000/B14)^(1/3)</f>
        <v>1.7710976153043518</v>
      </c>
      <c r="G5" t="s">
        <v>3</v>
      </c>
      <c r="I5" s="5" t="s">
        <v>94</v>
      </c>
      <c r="J5" s="5">
        <f>B7-0.6*B8</f>
        <v>-3.9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2.4376777610415146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Partly reshaping</v>
      </c>
      <c r="I7" s="1" t="s">
        <v>68</v>
      </c>
    </row>
    <row r="8" spans="1:11" ht="15.6" x14ac:dyDescent="0.35">
      <c r="A8" t="s">
        <v>12</v>
      </c>
      <c r="B8" s="58">
        <v>6.5</v>
      </c>
      <c r="C8" t="s">
        <v>3</v>
      </c>
      <c r="E8" t="s">
        <v>92</v>
      </c>
      <c r="F8" s="21">
        <f>IF(B21="",2,3)</f>
        <v>3</v>
      </c>
      <c r="I8" t="s">
        <v>36</v>
      </c>
      <c r="J8" s="4">
        <f>1.2*B2+B5</f>
        <v>12.4</v>
      </c>
      <c r="K8" t="s">
        <v>10</v>
      </c>
    </row>
    <row r="9" spans="1:11" ht="15.6" x14ac:dyDescent="0.35">
      <c r="A9" t="s">
        <v>29</v>
      </c>
      <c r="B9" s="58">
        <v>2</v>
      </c>
      <c r="C9" t="s">
        <v>10</v>
      </c>
      <c r="E9" t="s">
        <v>73</v>
      </c>
      <c r="F9" s="3">
        <f>1.6*(F6-1)^2.5*F5</f>
        <v>7.0228981170049618</v>
      </c>
      <c r="G9" t="s">
        <v>3</v>
      </c>
      <c r="I9" t="s">
        <v>37</v>
      </c>
      <c r="J9" s="4">
        <f>1.4*B2+B5</f>
        <v>13.799999999999999</v>
      </c>
      <c r="K9" t="s">
        <v>10</v>
      </c>
    </row>
    <row r="10" spans="1:11" ht="15.6" x14ac:dyDescent="0.35">
      <c r="A10" t="s">
        <v>71</v>
      </c>
      <c r="B10" s="58">
        <v>-18</v>
      </c>
      <c r="C10" t="s">
        <v>10</v>
      </c>
      <c r="E10" t="s">
        <v>74</v>
      </c>
      <c r="F10" s="3">
        <f>(1.6*F5*(F6*B4/B2-1)^2.5-F9)/2+F9</f>
        <v>9.5507397166003898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-0.22207522045807804</v>
      </c>
    </row>
    <row r="11" spans="1:11" ht="15.6" x14ac:dyDescent="0.35">
      <c r="A11" t="s">
        <v>14</v>
      </c>
      <c r="B11" s="59">
        <v>10</v>
      </c>
      <c r="C11" t="s">
        <v>106</v>
      </c>
      <c r="E11" t="s">
        <v>118</v>
      </c>
      <c r="F11" s="20">
        <f>((B19+(B20-B19)/2)*1000/B14)^(1/3)</f>
        <v>1.3737617666028523</v>
      </c>
      <c r="G11" t="s">
        <v>3</v>
      </c>
      <c r="I11" t="s">
        <v>84</v>
      </c>
      <c r="J11" s="19">
        <f>(-1*LN(B11/1000/0.1035/(9.81*B2^3)^0.5))^(1/1.3)*B2*J10/(1.35)+B5</f>
        <v>-0.80037376606293709</v>
      </c>
      <c r="K11" t="s">
        <v>10</v>
      </c>
    </row>
    <row r="12" spans="1:11" ht="15.6" x14ac:dyDescent="0.35">
      <c r="A12" t="s">
        <v>15</v>
      </c>
      <c r="B12" s="59" t="s">
        <v>124</v>
      </c>
      <c r="C12" t="s">
        <v>106</v>
      </c>
      <c r="E12" t="s">
        <v>93</v>
      </c>
      <c r="F12" s="11">
        <f>IF(F8=2,"No Class III",((B21+(B22-B21)/2)*1000/B14)^(1/3))</f>
        <v>0.97467257940428864</v>
      </c>
      <c r="G12" t="str">
        <f>IF(F8=2,"","m")</f>
        <v>m</v>
      </c>
      <c r="I12" t="s">
        <v>85</v>
      </c>
      <c r="J12" s="19"/>
      <c r="K12" t="s">
        <v>10</v>
      </c>
    </row>
    <row r="13" spans="1:11" ht="16.2" x14ac:dyDescent="0.3">
      <c r="A13" t="s">
        <v>16</v>
      </c>
      <c r="B13" s="58">
        <v>1030</v>
      </c>
      <c r="C13" t="s">
        <v>18</v>
      </c>
      <c r="I13" s="58" t="s">
        <v>104</v>
      </c>
      <c r="J13" s="62">
        <v>12.5</v>
      </c>
      <c r="K13" t="s">
        <v>10</v>
      </c>
    </row>
    <row r="14" spans="1:11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30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23.409660390016541</v>
      </c>
      <c r="G16" t="s">
        <v>3</v>
      </c>
      <c r="I16" t="s">
        <v>97</v>
      </c>
      <c r="J16" s="11">
        <f>IF(F8=3,B10+1.5+2*F12,B10+1.5+2*F11)</f>
        <v>-14.550654841191422</v>
      </c>
      <c r="K16" t="s">
        <v>10</v>
      </c>
    </row>
    <row r="17" spans="1:11" ht="15.6" x14ac:dyDescent="0.35">
      <c r="A17" t="s">
        <v>114</v>
      </c>
      <c r="B17" s="58">
        <v>10</v>
      </c>
      <c r="C17" t="s">
        <v>19</v>
      </c>
      <c r="E17" t="s">
        <v>61</v>
      </c>
      <c r="F17" s="3">
        <f>MAX(F9+F5,3*F5)</f>
        <v>8.7939957323093143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20</v>
      </c>
      <c r="C18" t="s">
        <v>19</v>
      </c>
      <c r="E18" t="s">
        <v>28</v>
      </c>
      <c r="F18">
        <f>B5+0.6*B2</f>
        <v>8.1999999999999993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4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-11.477691450423043</v>
      </c>
      <c r="K19" t="s">
        <v>10</v>
      </c>
    </row>
    <row r="20" spans="1:11" ht="15.6" x14ac:dyDescent="0.35">
      <c r="A20" t="s">
        <v>117</v>
      </c>
      <c r="B20" s="58">
        <v>10</v>
      </c>
      <c r="C20" t="s">
        <v>19</v>
      </c>
      <c r="E20" t="s">
        <v>31</v>
      </c>
      <c r="F20">
        <f>B9+F19</f>
        <v>3</v>
      </c>
      <c r="G20" t="s">
        <v>10</v>
      </c>
      <c r="I20" t="s">
        <v>46</v>
      </c>
      <c r="J20" s="12">
        <f>(B6-J19)/(IF(F8=3,F12,F11))</f>
        <v>12.801931350166123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>
        <v>1</v>
      </c>
      <c r="C21" t="s">
        <v>19</v>
      </c>
      <c r="E21" t="s">
        <v>32</v>
      </c>
      <c r="F21" s="3">
        <f>F20+2*F5</f>
        <v>6.5421952306087032</v>
      </c>
      <c r="G21" t="s">
        <v>10</v>
      </c>
      <c r="I21" t="s">
        <v>47</v>
      </c>
      <c r="J21" s="11">
        <f>(B6-J19)/(B6-B10)</f>
        <v>0.65672060265384435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>
        <v>4</v>
      </c>
      <c r="C22" t="s">
        <v>19</v>
      </c>
      <c r="E22" s="58" t="s">
        <v>100</v>
      </c>
      <c r="F22" s="60">
        <v>24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8.1999999999999993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-11.75043232485258</v>
      </c>
      <c r="K24" t="s">
        <v>10</v>
      </c>
    </row>
    <row r="25" spans="1:11" ht="15.6" x14ac:dyDescent="0.35">
      <c r="E25" s="6" t="s">
        <v>26</v>
      </c>
      <c r="F25" s="4">
        <f>2*F6*B2</f>
        <v>34.127488654581207</v>
      </c>
      <c r="G25" t="s">
        <v>3</v>
      </c>
      <c r="I25" t="s">
        <v>46</v>
      </c>
      <c r="J25" s="12">
        <f>(B6-J24)/(IF(F8=3,F12,F11))</f>
        <v>13.081759551136171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34</v>
      </c>
      <c r="G26" t="s">
        <v>48</v>
      </c>
      <c r="I26" t="s">
        <v>47</v>
      </c>
      <c r="J26" s="11">
        <f>(B6-J24)/(B6-B10)</f>
        <v>0.67107538551855683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-12</v>
      </c>
      <c r="K27" t="s">
        <v>10</v>
      </c>
    </row>
    <row r="28" spans="1:11" ht="15.6" x14ac:dyDescent="0.35">
      <c r="I28" s="58" t="s">
        <v>105</v>
      </c>
      <c r="J28" s="58">
        <v>1.5</v>
      </c>
      <c r="K28" s="2" t="s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F34" sqref="F34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9.33203125" customWidth="1"/>
    <col min="7" max="7" width="5.3320312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7</v>
      </c>
      <c r="C2" t="s">
        <v>3</v>
      </c>
      <c r="E2" t="s">
        <v>4</v>
      </c>
      <c r="F2" s="16">
        <f>2*PI()*B2/9.81/B3^2</f>
        <v>3.990223026236215E-2</v>
      </c>
      <c r="G2" s="2" t="s">
        <v>5</v>
      </c>
      <c r="I2" t="s">
        <v>40</v>
      </c>
      <c r="J2" s="4">
        <f>B6-0.4*B2</f>
        <v>-1.8000000000000003</v>
      </c>
      <c r="K2" t="s">
        <v>10</v>
      </c>
    </row>
    <row r="3" spans="1:11" ht="15.6" x14ac:dyDescent="0.35">
      <c r="A3" t="s">
        <v>6</v>
      </c>
      <c r="B3" s="58">
        <v>10.6</v>
      </c>
      <c r="C3" t="s">
        <v>7</v>
      </c>
      <c r="E3" t="s">
        <v>22</v>
      </c>
      <c r="F3" s="3">
        <f>(B14-B13)/B13</f>
        <v>1.6213592233009708</v>
      </c>
      <c r="G3" s="2" t="s">
        <v>5</v>
      </c>
      <c r="I3" t="s">
        <v>42</v>
      </c>
      <c r="J3">
        <f>B7-0.4*B8</f>
        <v>-2.6</v>
      </c>
      <c r="K3" t="s">
        <v>10</v>
      </c>
    </row>
    <row r="4" spans="1:11" ht="15.6" x14ac:dyDescent="0.35">
      <c r="A4" t="s">
        <v>8</v>
      </c>
      <c r="B4" s="58">
        <v>8</v>
      </c>
      <c r="C4" t="s">
        <v>3</v>
      </c>
      <c r="E4" t="s">
        <v>90</v>
      </c>
      <c r="F4" s="4">
        <f>B17+(B18-B17)/2</f>
        <v>8</v>
      </c>
      <c r="G4" t="s">
        <v>19</v>
      </c>
      <c r="I4" s="58" t="s">
        <v>103</v>
      </c>
      <c r="J4" s="58">
        <v>-2.6</v>
      </c>
      <c r="K4" t="s">
        <v>10</v>
      </c>
    </row>
    <row r="5" spans="1:11" ht="15.6" x14ac:dyDescent="0.35">
      <c r="A5" t="s">
        <v>9</v>
      </c>
      <c r="B5" s="58">
        <v>4</v>
      </c>
      <c r="C5" t="s">
        <v>10</v>
      </c>
      <c r="E5" t="s">
        <v>91</v>
      </c>
      <c r="F5" s="3">
        <f>(F4*1000/B14)^(1/3)</f>
        <v>1.4362897933545891</v>
      </c>
      <c r="G5" t="s">
        <v>3</v>
      </c>
      <c r="I5" s="5" t="s">
        <v>94</v>
      </c>
      <c r="J5" s="5">
        <f>B7-0.6*B8</f>
        <v>-3.9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3.0059151638037251</v>
      </c>
      <c r="G6" s="2" t="s">
        <v>5</v>
      </c>
    </row>
    <row r="7" spans="1:11" ht="15.6" x14ac:dyDescent="0.35">
      <c r="A7" t="s">
        <v>11</v>
      </c>
      <c r="B7" s="58">
        <v>0</v>
      </c>
      <c r="C7" t="s">
        <v>10</v>
      </c>
      <c r="E7" s="1" t="s">
        <v>23</v>
      </c>
      <c r="F7" s="1" t="s">
        <v>125</v>
      </c>
      <c r="I7" s="1"/>
    </row>
    <row r="8" spans="1:11" ht="15.6" x14ac:dyDescent="0.35">
      <c r="A8" t="s">
        <v>12</v>
      </c>
      <c r="B8" s="58">
        <v>6.5</v>
      </c>
      <c r="C8" t="s">
        <v>3</v>
      </c>
      <c r="E8" t="s">
        <v>92</v>
      </c>
      <c r="F8" s="21">
        <f>IF(B21="",2,3)</f>
        <v>2</v>
      </c>
      <c r="I8" t="s">
        <v>36</v>
      </c>
      <c r="J8" s="4">
        <f>1.2*B2+B5</f>
        <v>12.4</v>
      </c>
      <c r="K8" t="s">
        <v>10</v>
      </c>
    </row>
    <row r="9" spans="1:11" ht="15.6" x14ac:dyDescent="0.35">
      <c r="A9" t="s">
        <v>29</v>
      </c>
      <c r="B9" s="58">
        <v>2</v>
      </c>
      <c r="C9" t="s">
        <v>10</v>
      </c>
      <c r="E9" t="s">
        <v>73</v>
      </c>
      <c r="F9" s="3">
        <f>1.6*(F6-1)^2.5*F5</f>
        <v>13.096144566920367</v>
      </c>
      <c r="G9" t="s">
        <v>3</v>
      </c>
      <c r="I9" t="s">
        <v>37</v>
      </c>
      <c r="J9" s="4">
        <f>1.4*B2+B5</f>
        <v>13.799999999999999</v>
      </c>
      <c r="K9" t="s">
        <v>10</v>
      </c>
    </row>
    <row r="10" spans="1:11" ht="15.6" x14ac:dyDescent="0.35">
      <c r="A10" t="s">
        <v>71</v>
      </c>
      <c r="B10" s="58">
        <v>-18</v>
      </c>
      <c r="C10" t="s">
        <v>10</v>
      </c>
      <c r="E10" t="s">
        <v>74</v>
      </c>
      <c r="F10" s="3">
        <f>(1.6*F5*(F6*B4/B2-1)^2.5-F9)/2+F9</f>
        <v>17.182823346055947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0.34087992763874059</v>
      </c>
    </row>
    <row r="11" spans="1:11" ht="15.6" x14ac:dyDescent="0.35">
      <c r="A11" t="s">
        <v>14</v>
      </c>
      <c r="B11" s="59">
        <v>10</v>
      </c>
      <c r="C11" t="s">
        <v>106</v>
      </c>
      <c r="E11" t="s">
        <v>118</v>
      </c>
      <c r="F11" s="20">
        <f>((B19+(B20-B19)/2)*1000/B14)^(1/3)</f>
        <v>1.1856311014966876</v>
      </c>
      <c r="G11" t="s">
        <v>3</v>
      </c>
      <c r="I11" t="s">
        <v>84</v>
      </c>
      <c r="J11" s="19">
        <f>(-1*LN(B11/1000/0.1035/(9.81*B2^3)^0.5))^(1/1.3)*B2*J10/(1.35)+B5</f>
        <v>11.368454069927818</v>
      </c>
      <c r="K11" t="s">
        <v>10</v>
      </c>
    </row>
    <row r="12" spans="1:11" ht="15.6" x14ac:dyDescent="0.35">
      <c r="A12" t="s">
        <v>15</v>
      </c>
      <c r="B12" s="59" t="s">
        <v>124</v>
      </c>
      <c r="C12" t="s">
        <v>106</v>
      </c>
      <c r="E12" t="s">
        <v>93</v>
      </c>
      <c r="F12" s="11" t="str">
        <f>IF(F8=2,"No Class III",((B21+(B22-B21)/2)*1000/B14)^(1/3))</f>
        <v>No Class III</v>
      </c>
      <c r="G12" t="str">
        <f>IF(F8=2,"","m")</f>
        <v/>
      </c>
      <c r="I12" t="s">
        <v>85</v>
      </c>
      <c r="J12" s="19"/>
      <c r="K12" t="s">
        <v>10</v>
      </c>
    </row>
    <row r="13" spans="1:11" ht="16.2" x14ac:dyDescent="0.3">
      <c r="A13" t="s">
        <v>16</v>
      </c>
      <c r="B13" s="58">
        <v>1030</v>
      </c>
      <c r="C13" t="s">
        <v>18</v>
      </c>
      <c r="I13" s="58" t="s">
        <v>104</v>
      </c>
      <c r="J13" s="62">
        <v>12.5</v>
      </c>
      <c r="K13" t="s">
        <v>10</v>
      </c>
    </row>
    <row r="14" spans="1:11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50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26.192289133840735</v>
      </c>
      <c r="G16" t="s">
        <v>3</v>
      </c>
      <c r="I16" t="s">
        <v>97</v>
      </c>
      <c r="J16" s="11">
        <f>IF(F8=3,B10+1.5+2*F12,B10+1.5+2*F11)</f>
        <v>-14.128737797006625</v>
      </c>
      <c r="K16" t="s">
        <v>10</v>
      </c>
    </row>
    <row r="17" spans="1:11" ht="15.6" x14ac:dyDescent="0.35">
      <c r="A17" t="s">
        <v>114</v>
      </c>
      <c r="B17" s="58">
        <v>6</v>
      </c>
      <c r="C17" t="s">
        <v>19</v>
      </c>
      <c r="E17" t="s">
        <v>61</v>
      </c>
      <c r="F17" s="3">
        <f>MAX(F9+F5,3*F5)</f>
        <v>14.532434360274957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10</v>
      </c>
      <c r="C18" t="s">
        <v>19</v>
      </c>
      <c r="E18" t="s">
        <v>28</v>
      </c>
      <c r="F18">
        <f>B5+0.6*B2</f>
        <v>8.1999999999999993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3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-9.5976871695705483</v>
      </c>
      <c r="K19" t="s">
        <v>10</v>
      </c>
    </row>
    <row r="20" spans="1:11" ht="15.6" x14ac:dyDescent="0.35">
      <c r="A20" t="s">
        <v>117</v>
      </c>
      <c r="B20" s="58">
        <v>6</v>
      </c>
      <c r="C20" t="s">
        <v>19</v>
      </c>
      <c r="E20" t="s">
        <v>31</v>
      </c>
      <c r="F20">
        <f>B9+F19</f>
        <v>3</v>
      </c>
      <c r="G20" t="s">
        <v>10</v>
      </c>
      <c r="I20" t="s">
        <v>46</v>
      </c>
      <c r="J20" s="12">
        <f>(B6-J19)/(IF(F8=3,F12,F11))</f>
        <v>8.9384355354650378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/>
      <c r="C21" t="s">
        <v>19</v>
      </c>
      <c r="E21" t="s">
        <v>32</v>
      </c>
      <c r="F21" s="3">
        <f>F20+2*F5</f>
        <v>5.8725795867091781</v>
      </c>
      <c r="G21" t="s">
        <v>10</v>
      </c>
      <c r="I21" t="s">
        <v>47</v>
      </c>
      <c r="J21" s="11">
        <f>(B6-J19)/(B6-B10)</f>
        <v>0.55777300892476567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/>
      <c r="C22" t="s">
        <v>19</v>
      </c>
      <c r="E22" s="58" t="s">
        <v>100</v>
      </c>
      <c r="F22" s="60">
        <v>27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6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-9.8921704827443051</v>
      </c>
      <c r="K24" t="s">
        <v>10</v>
      </c>
    </row>
    <row r="25" spans="1:11" ht="15.6" x14ac:dyDescent="0.35">
      <c r="E25" s="6" t="s">
        <v>26</v>
      </c>
      <c r="F25" s="4">
        <f>2*F6*B2</f>
        <v>42.082812293252154</v>
      </c>
      <c r="G25" t="s">
        <v>3</v>
      </c>
      <c r="I25" t="s">
        <v>46</v>
      </c>
      <c r="J25" s="12">
        <f>(B6-J24)/(IF(F8=3,F12,F11))</f>
        <v>9.1868123811820706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42</v>
      </c>
      <c r="G26" t="s">
        <v>48</v>
      </c>
      <c r="I26" t="s">
        <v>47</v>
      </c>
      <c r="J26" s="11">
        <f>(B6-J24)/(B6-B10)</f>
        <v>0.57327213067075289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-10</v>
      </c>
      <c r="K27" t="s">
        <v>10</v>
      </c>
    </row>
    <row r="28" spans="1:11" ht="15.6" x14ac:dyDescent="0.35">
      <c r="I28" s="58" t="s">
        <v>105</v>
      </c>
      <c r="J28" s="58">
        <v>2</v>
      </c>
      <c r="K28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6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  <col min="14" max="14" width="4.88671875" customWidth="1"/>
    <col min="15" max="15" width="1.6640625" customWidth="1"/>
    <col min="16" max="16" width="4" customWidth="1"/>
    <col min="17" max="17" width="3.33203125" customWidth="1"/>
    <col min="18" max="18" width="7.44140625" customWidth="1"/>
    <col min="19" max="19" width="6.109375" customWidth="1"/>
    <col min="20" max="20" width="6" customWidth="1"/>
  </cols>
  <sheetData>
    <row r="1" spans="1:23" x14ac:dyDescent="0.3">
      <c r="A1" s="1" t="s">
        <v>1</v>
      </c>
      <c r="B1" s="1"/>
      <c r="E1" s="1" t="s">
        <v>20</v>
      </c>
      <c r="I1" s="1" t="s">
        <v>75</v>
      </c>
    </row>
    <row r="2" spans="1:23" ht="15.6" x14ac:dyDescent="0.35">
      <c r="A2" t="s">
        <v>2</v>
      </c>
      <c r="B2" s="58">
        <v>5</v>
      </c>
      <c r="C2" t="s">
        <v>3</v>
      </c>
      <c r="E2" t="s">
        <v>4</v>
      </c>
      <c r="F2" s="16">
        <f>2*PI()*B2/9.81/B3^2</f>
        <v>3.0186058954519819E-2</v>
      </c>
      <c r="G2" s="2" t="s">
        <v>5</v>
      </c>
      <c r="I2" t="s">
        <v>40</v>
      </c>
      <c r="J2" s="4">
        <f>B6-0.4*B2</f>
        <v>-1</v>
      </c>
      <c r="K2" t="s">
        <v>10</v>
      </c>
      <c r="M2" s="32" t="s">
        <v>123</v>
      </c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6" x14ac:dyDescent="0.35">
      <c r="A3" t="s">
        <v>6</v>
      </c>
      <c r="B3" s="58">
        <v>10.3</v>
      </c>
      <c r="C3" t="s">
        <v>7</v>
      </c>
      <c r="E3" t="s">
        <v>22</v>
      </c>
      <c r="F3" s="3">
        <f>(B14-B13)/B13</f>
        <v>1.6341463414634145</v>
      </c>
      <c r="G3" s="2" t="s">
        <v>5</v>
      </c>
      <c r="I3" t="s">
        <v>42</v>
      </c>
      <c r="J3">
        <f>B7-0.4*B8</f>
        <v>-1.8</v>
      </c>
      <c r="K3" t="s">
        <v>10</v>
      </c>
    </row>
    <row r="4" spans="1:23" ht="15.6" x14ac:dyDescent="0.35">
      <c r="A4" t="s">
        <v>8</v>
      </c>
      <c r="B4" s="58">
        <v>6</v>
      </c>
      <c r="C4" t="s">
        <v>3</v>
      </c>
      <c r="E4" t="s">
        <v>90</v>
      </c>
      <c r="F4" s="4">
        <f>B17+(B18-B17)/2</f>
        <v>15</v>
      </c>
      <c r="G4" t="s">
        <v>19</v>
      </c>
      <c r="I4" s="58" t="s">
        <v>103</v>
      </c>
      <c r="J4" s="58">
        <v>-1.8</v>
      </c>
      <c r="K4" t="s">
        <v>10</v>
      </c>
    </row>
    <row r="5" spans="1:23" ht="15.6" x14ac:dyDescent="0.35">
      <c r="A5" t="s">
        <v>9</v>
      </c>
      <c r="B5" s="58">
        <v>2</v>
      </c>
      <c r="C5" t="s">
        <v>10</v>
      </c>
      <c r="E5" t="s">
        <v>91</v>
      </c>
      <c r="F5" s="3">
        <f>(F4*1000/B14)^(1/3)</f>
        <v>1.7710976153043518</v>
      </c>
      <c r="G5" t="s">
        <v>3</v>
      </c>
      <c r="I5" s="5" t="s">
        <v>94</v>
      </c>
      <c r="J5" s="5">
        <f>B7-0.6*B8</f>
        <v>-2.6999999999999997</v>
      </c>
      <c r="K5" t="s">
        <v>10</v>
      </c>
    </row>
    <row r="6" spans="1:23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1.7275736052592017</v>
      </c>
      <c r="G6" s="2" t="s">
        <v>5</v>
      </c>
    </row>
    <row r="7" spans="1:23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Hardly reshaping</v>
      </c>
      <c r="I7" s="1" t="s">
        <v>68</v>
      </c>
    </row>
    <row r="8" spans="1:23" ht="15.6" x14ac:dyDescent="0.35">
      <c r="A8" t="s">
        <v>12</v>
      </c>
      <c r="B8" s="58">
        <v>4.5</v>
      </c>
      <c r="C8" t="s">
        <v>3</v>
      </c>
      <c r="E8" t="s">
        <v>92</v>
      </c>
      <c r="F8" s="21">
        <f>IF(B21="",2,3)</f>
        <v>3</v>
      </c>
      <c r="I8" t="s">
        <v>36</v>
      </c>
      <c r="J8" s="4">
        <f>1.2*B2+B5</f>
        <v>8</v>
      </c>
      <c r="K8" t="s">
        <v>10</v>
      </c>
    </row>
    <row r="9" spans="1:23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1.2795428064624166</v>
      </c>
      <c r="G9" t="s">
        <v>3</v>
      </c>
      <c r="I9" t="s">
        <v>37</v>
      </c>
      <c r="J9" s="4">
        <f>1.4*B2+B5</f>
        <v>9</v>
      </c>
      <c r="K9" t="s">
        <v>10</v>
      </c>
    </row>
    <row r="10" spans="1:23" ht="15.6" x14ac:dyDescent="0.35">
      <c r="A10" t="s">
        <v>71</v>
      </c>
      <c r="B10" s="58">
        <v>-10</v>
      </c>
      <c r="C10" t="s">
        <v>10</v>
      </c>
      <c r="E10" t="s">
        <v>74</v>
      </c>
      <c r="F10" s="3">
        <f>(1.6*F5*(F6*B4/B2-1)^2.5-F9)/2+F9</f>
        <v>2.3299054920170121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0.4591627347046609</v>
      </c>
    </row>
    <row r="11" spans="1:23" ht="15.6" x14ac:dyDescent="0.35">
      <c r="A11" t="s">
        <v>14</v>
      </c>
      <c r="B11" s="59">
        <v>1</v>
      </c>
      <c r="C11" t="s">
        <v>106</v>
      </c>
      <c r="E11" t="s">
        <v>118</v>
      </c>
      <c r="F11" s="20">
        <f>((B19+(B20-B19)/2)*1000/B14)^(1/3)</f>
        <v>1.3737617666028523</v>
      </c>
      <c r="G11" t="s">
        <v>3</v>
      </c>
      <c r="I11" t="s">
        <v>84</v>
      </c>
      <c r="J11" s="19">
        <f>(-1*LN(B11/1000/0.1035/(9.81*B2^3)^0.5))^(1/1.3)*B2*J10/(1.35)+B5</f>
        <v>10.577295065231391</v>
      </c>
      <c r="K11" t="s">
        <v>10</v>
      </c>
    </row>
    <row r="12" spans="1:23" ht="15.6" x14ac:dyDescent="0.35">
      <c r="A12" t="s">
        <v>15</v>
      </c>
      <c r="B12" s="59">
        <v>10</v>
      </c>
      <c r="C12" t="s">
        <v>106</v>
      </c>
      <c r="E12" t="s">
        <v>93</v>
      </c>
      <c r="F12" s="11">
        <f>IF(F8=2,"No Class III",((B21+(B22-B21)/2)*1000/B14)^(1/3))</f>
        <v>0.97467257940428864</v>
      </c>
      <c r="G12" t="str">
        <f>IF(F8=2,"","m")</f>
        <v>m</v>
      </c>
      <c r="I12" t="s">
        <v>85</v>
      </c>
      <c r="J12" s="19">
        <f>(-1*LN(B12/1000/0.1035/(9.81*B4^3)^0.5))^(1/1.3)*B4*J10/(1.35)+B5</f>
        <v>10.269834915544623</v>
      </c>
      <c r="K12" t="s">
        <v>10</v>
      </c>
    </row>
    <row r="13" spans="1:23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10</v>
      </c>
      <c r="K13" t="s">
        <v>10</v>
      </c>
      <c r="R13" s="5"/>
    </row>
    <row r="14" spans="1:23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23" ht="21" x14ac:dyDescent="0.4">
      <c r="B15" s="58"/>
      <c r="C15" s="2"/>
      <c r="E15" s="5" t="s">
        <v>0</v>
      </c>
      <c r="F15" s="58">
        <v>15</v>
      </c>
      <c r="G15" t="s">
        <v>25</v>
      </c>
      <c r="I15" s="1" t="s">
        <v>95</v>
      </c>
      <c r="J15" s="17"/>
      <c r="M15" s="23" t="s">
        <v>110</v>
      </c>
      <c r="N15" s="23"/>
      <c r="O15" s="23"/>
      <c r="P15" s="23"/>
      <c r="Q15" s="23"/>
      <c r="R15" s="23"/>
    </row>
    <row r="16" spans="1:23" ht="21" x14ac:dyDescent="0.4">
      <c r="A16" s="1" t="s">
        <v>88</v>
      </c>
      <c r="B16" s="58"/>
      <c r="C16" s="2"/>
      <c r="E16" t="s">
        <v>60</v>
      </c>
      <c r="F16" s="3">
        <f>F9/(F15/100)</f>
        <v>8.5302853764161117</v>
      </c>
      <c r="G16" t="s">
        <v>3</v>
      </c>
      <c r="I16" t="s">
        <v>97</v>
      </c>
      <c r="J16" s="11">
        <f>IF(F8=3,B10+1.5+2*F12,B10+1.5+2*F11)</f>
        <v>-6.5506548411914229</v>
      </c>
      <c r="K16" t="s">
        <v>10</v>
      </c>
      <c r="M16" s="25" t="str">
        <f>IF('Output file'!B21="","MA: two classes", "IC: three classes")</f>
        <v>MA: two classes</v>
      </c>
      <c r="N16" s="24"/>
      <c r="O16" s="24"/>
      <c r="P16" s="24"/>
      <c r="Q16" s="24"/>
      <c r="R16" s="24"/>
    </row>
    <row r="17" spans="1:21" ht="15.6" x14ac:dyDescent="0.35">
      <c r="A17" t="s">
        <v>114</v>
      </c>
      <c r="B17" s="58">
        <v>10</v>
      </c>
      <c r="C17" t="s">
        <v>19</v>
      </c>
      <c r="E17" t="s">
        <v>61</v>
      </c>
      <c r="F17" s="3">
        <f>MAX(F9+F5,3*F5)</f>
        <v>5.3132928459130557</v>
      </c>
      <c r="G17" t="s">
        <v>3</v>
      </c>
      <c r="I17" s="10" t="s">
        <v>35</v>
      </c>
    </row>
    <row r="18" spans="1:21" ht="15.6" x14ac:dyDescent="0.35">
      <c r="A18" t="s">
        <v>116</v>
      </c>
      <c r="B18" s="58">
        <v>20</v>
      </c>
      <c r="C18" t="s">
        <v>19</v>
      </c>
      <c r="E18" t="s">
        <v>28</v>
      </c>
      <c r="F18">
        <f>B5+0.6*B2</f>
        <v>5</v>
      </c>
      <c r="G18" t="s">
        <v>10</v>
      </c>
      <c r="I18" t="s">
        <v>44</v>
      </c>
      <c r="J18" s="58">
        <v>2</v>
      </c>
      <c r="K18" s="2" t="s">
        <v>5</v>
      </c>
    </row>
    <row r="19" spans="1:21" ht="15.6" x14ac:dyDescent="0.35">
      <c r="A19" t="s">
        <v>115</v>
      </c>
      <c r="B19" s="58">
        <v>4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-4.2214464143860431</v>
      </c>
      <c r="K19" t="s">
        <v>10</v>
      </c>
    </row>
    <row r="20" spans="1:21" ht="15.6" x14ac:dyDescent="0.35">
      <c r="A20" t="s">
        <v>117</v>
      </c>
      <c r="B20" s="58">
        <v>10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5.3571286652768517</v>
      </c>
      <c r="K20" s="63" t="str">
        <f>IF(AND(3&lt;(B6-J19)/(IF(F8=3,F12,F11)),(B6-J19)/(IF(F8=3,F12,F11))&lt;25),"ok","out of range")</f>
        <v>ok</v>
      </c>
    </row>
    <row r="21" spans="1:21" ht="15.6" x14ac:dyDescent="0.35">
      <c r="A21" t="s">
        <v>82</v>
      </c>
      <c r="B21" s="58">
        <v>1</v>
      </c>
      <c r="C21" t="s">
        <v>19</v>
      </c>
      <c r="E21" t="s">
        <v>32</v>
      </c>
      <c r="F21" s="3">
        <f>F20+2*F5</f>
        <v>5.5421952306087032</v>
      </c>
      <c r="G21" t="s">
        <v>10</v>
      </c>
      <c r="I21" t="s">
        <v>47</v>
      </c>
      <c r="J21" s="11">
        <f>(B6-J19)/(B6-B10)</f>
        <v>0.47467694676236755</v>
      </c>
      <c r="K21" s="63" t="str">
        <f>IF(AND(0.4&lt;(B6-J19)/(B6-B10),(B6-J19)/(B6-B10)&lt;0.9),"ok","out of range")</f>
        <v>ok</v>
      </c>
    </row>
    <row r="22" spans="1:21" ht="15.6" x14ac:dyDescent="0.35">
      <c r="A22" t="s">
        <v>83</v>
      </c>
      <c r="B22" s="58">
        <v>4</v>
      </c>
      <c r="C22" t="s">
        <v>19</v>
      </c>
      <c r="E22" s="58" t="s">
        <v>100</v>
      </c>
      <c r="F22" s="60">
        <v>8.5</v>
      </c>
      <c r="G22" t="s">
        <v>3</v>
      </c>
      <c r="I22" s="10" t="s">
        <v>39</v>
      </c>
      <c r="J22" s="11"/>
    </row>
    <row r="23" spans="1:21" ht="15.6" x14ac:dyDescent="0.35">
      <c r="E23" s="58" t="s">
        <v>101</v>
      </c>
      <c r="F23" s="60">
        <v>5.5</v>
      </c>
      <c r="G23" t="s">
        <v>10</v>
      </c>
      <c r="I23" t="s">
        <v>45</v>
      </c>
      <c r="J23" s="58">
        <v>4</v>
      </c>
      <c r="K23" s="2" t="s">
        <v>5</v>
      </c>
    </row>
    <row r="24" spans="1:21" ht="15.6" x14ac:dyDescent="0.35">
      <c r="I24" t="s">
        <v>99</v>
      </c>
      <c r="J24" s="11">
        <f>B6-((((B4/F3/(IF(F8=3,F12,F11)))*J23^-0.15)-2)/6.2)^(1/2.7)*(B6-B10)</f>
        <v>-4.7181554315329866</v>
      </c>
      <c r="K24" t="s">
        <v>10</v>
      </c>
    </row>
    <row r="25" spans="1:21" ht="15.6" x14ac:dyDescent="0.35">
      <c r="E25" s="6" t="s">
        <v>26</v>
      </c>
      <c r="F25" s="4">
        <f>2*F6*B2</f>
        <v>17.275736052592016</v>
      </c>
      <c r="G25" t="s">
        <v>3</v>
      </c>
      <c r="I25" t="s">
        <v>46</v>
      </c>
      <c r="J25" s="12">
        <f>(B6-J24)/(IF(F8=3,F12,F11))</f>
        <v>5.8667449483680691</v>
      </c>
      <c r="K25" s="63" t="str">
        <f>IF(AND(3&lt;(B6-J24)/(IF(F8=3,F12,F11)),(B6-J24)/(IF(F8=3,F12,F11))&lt;25),"ok","out of range")</f>
        <v>ok</v>
      </c>
    </row>
    <row r="26" spans="1:21" ht="15.6" x14ac:dyDescent="0.35">
      <c r="E26" s="58" t="s">
        <v>102</v>
      </c>
      <c r="F26" s="61">
        <v>17</v>
      </c>
      <c r="G26" t="s">
        <v>48</v>
      </c>
      <c r="I26" t="s">
        <v>47</v>
      </c>
      <c r="J26" s="11">
        <f>(B6-J24)/(B6-B10)</f>
        <v>0.5198323119575442</v>
      </c>
      <c r="K26" s="63" t="str">
        <f>IF(AND(0.4&lt;(B6-J24)/(B6-B10),(B6-J19)/(B6-B10)&lt;0.9),"ok","out of range")</f>
        <v>ok</v>
      </c>
    </row>
    <row r="27" spans="1:21" x14ac:dyDescent="0.3">
      <c r="I27" s="58" t="s">
        <v>109</v>
      </c>
      <c r="J27" s="58">
        <v>0</v>
      </c>
      <c r="K27" t="s">
        <v>10</v>
      </c>
    </row>
    <row r="28" spans="1:21" ht="15.6" x14ac:dyDescent="0.35">
      <c r="I28" s="58" t="s">
        <v>105</v>
      </c>
      <c r="J28" s="58">
        <v>1.5</v>
      </c>
      <c r="K28" s="2" t="s">
        <v>5</v>
      </c>
    </row>
    <row r="29" spans="1:21" x14ac:dyDescent="0.3">
      <c r="L29" s="13"/>
      <c r="M29" s="26"/>
      <c r="N29" s="26"/>
      <c r="O29" s="26"/>
      <c r="P29" s="26"/>
      <c r="Q29" s="26"/>
      <c r="R29" s="26"/>
      <c r="S29" s="13"/>
      <c r="T29" s="13"/>
      <c r="U29" s="13"/>
    </row>
    <row r="30" spans="1:21" x14ac:dyDescent="0.3">
      <c r="L30" s="13"/>
      <c r="M30" s="13"/>
      <c r="N30" s="13"/>
      <c r="O30" s="13"/>
      <c r="P30" s="13"/>
      <c r="Q30" s="13"/>
      <c r="R30" s="13"/>
      <c r="S30" s="27"/>
      <c r="T30" s="13"/>
      <c r="U30" s="13"/>
    </row>
    <row r="31" spans="1:21" x14ac:dyDescent="0.3">
      <c r="L31" s="13"/>
      <c r="M31" s="13"/>
      <c r="N31" s="13"/>
      <c r="O31" s="13"/>
      <c r="P31" s="13"/>
      <c r="Q31" s="13"/>
      <c r="R31" s="13"/>
      <c r="S31" s="27"/>
      <c r="T31" s="13"/>
      <c r="U31" s="13"/>
    </row>
    <row r="32" spans="1:21" x14ac:dyDescent="0.3">
      <c r="L32" s="13"/>
      <c r="M32" s="13"/>
      <c r="N32" s="13"/>
      <c r="O32" s="13"/>
      <c r="P32" s="13"/>
      <c r="Q32" s="13"/>
      <c r="R32" s="13"/>
      <c r="S32" s="28"/>
      <c r="T32" s="13"/>
      <c r="U32" s="13"/>
    </row>
    <row r="33" spans="4:21" x14ac:dyDescent="0.3"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4:21" x14ac:dyDescent="0.3">
      <c r="L34" s="13"/>
      <c r="M34" s="13"/>
      <c r="N34" s="13"/>
      <c r="O34" s="13"/>
      <c r="P34" s="13"/>
      <c r="Q34" s="13"/>
      <c r="R34" s="13"/>
      <c r="S34" s="20"/>
      <c r="T34" s="13"/>
      <c r="U34" s="13"/>
    </row>
    <row r="35" spans="4:21" x14ac:dyDescent="0.3">
      <c r="D35" s="5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4:21" x14ac:dyDescent="0.3">
      <c r="L36" s="13"/>
      <c r="M36" s="13"/>
      <c r="N36" s="13"/>
      <c r="O36" s="13"/>
      <c r="P36" s="13"/>
      <c r="Q36" s="13"/>
      <c r="R36" s="13"/>
      <c r="S36" s="13"/>
      <c r="T36" s="29"/>
      <c r="U36" s="13"/>
    </row>
    <row r="37" spans="4:21" x14ac:dyDescent="0.3"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4:21" x14ac:dyDescent="0.3">
      <c r="L38" s="13"/>
      <c r="M38" s="30"/>
      <c r="N38" s="13"/>
      <c r="O38" s="31"/>
      <c r="P38" s="30"/>
      <c r="Q38" s="13"/>
      <c r="R38" s="13"/>
      <c r="S38" s="13"/>
      <c r="T38" s="13"/>
      <c r="U38" s="13"/>
    </row>
    <row r="39" spans="4:21" x14ac:dyDescent="0.3">
      <c r="L39" s="13"/>
      <c r="M39" s="30"/>
      <c r="N39" s="13"/>
      <c r="O39" s="31"/>
      <c r="P39" s="30"/>
      <c r="Q39" s="13"/>
      <c r="R39" s="13"/>
      <c r="S39" s="13"/>
      <c r="T39" s="13"/>
      <c r="U39" s="13"/>
    </row>
    <row r="40" spans="4:21" x14ac:dyDescent="0.3">
      <c r="L40" s="13"/>
      <c r="M40" s="30"/>
      <c r="N40" s="13"/>
      <c r="O40" s="31"/>
      <c r="P40" s="30"/>
      <c r="Q40" s="13"/>
      <c r="R40" s="13"/>
      <c r="S40" s="13"/>
      <c r="T40" s="13"/>
      <c r="U40" s="13"/>
    </row>
    <row r="41" spans="4:21" x14ac:dyDescent="0.3"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4:21" x14ac:dyDescent="0.3"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4:21" x14ac:dyDescent="0.3"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4:21" x14ac:dyDescent="0.3"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4:21" x14ac:dyDescent="0.3">
      <c r="E45" s="5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4:21" x14ac:dyDescent="0.3">
      <c r="E46" s="5"/>
      <c r="L46" s="13"/>
      <c r="M46" s="26"/>
      <c r="N46" s="26"/>
      <c r="O46" s="26"/>
      <c r="P46" s="26"/>
      <c r="Q46" s="26"/>
      <c r="R46" s="26"/>
      <c r="S46" s="13"/>
      <c r="T46" s="13"/>
      <c r="U46" s="13"/>
    </row>
    <row r="47" spans="4:21" x14ac:dyDescent="0.3">
      <c r="L47" s="13"/>
      <c r="M47" s="13"/>
      <c r="N47" s="13"/>
      <c r="O47" s="13"/>
      <c r="P47" s="13"/>
      <c r="Q47" s="13"/>
      <c r="R47" s="13"/>
      <c r="S47" s="27"/>
      <c r="T47" s="13"/>
      <c r="U47" s="13"/>
    </row>
    <row r="48" spans="4:21" x14ac:dyDescent="0.3">
      <c r="L48" s="13"/>
      <c r="M48" s="13"/>
      <c r="N48" s="13"/>
      <c r="O48" s="13"/>
      <c r="P48" s="13"/>
      <c r="Q48" s="13"/>
      <c r="R48" s="13"/>
      <c r="S48" s="27"/>
      <c r="T48" s="13"/>
      <c r="U48" s="13"/>
    </row>
    <row r="49" spans="12:21" x14ac:dyDescent="0.3">
      <c r="L49" s="13"/>
      <c r="M49" s="13"/>
      <c r="N49" s="13"/>
      <c r="O49" s="13"/>
      <c r="P49" s="13"/>
      <c r="Q49" s="13"/>
      <c r="R49" s="13"/>
      <c r="S49" s="28"/>
      <c r="T49" s="13"/>
      <c r="U49" s="13"/>
    </row>
    <row r="50" spans="12:21" x14ac:dyDescent="0.3">
      <c r="L50" s="13"/>
      <c r="M50" s="13"/>
      <c r="N50" s="13"/>
      <c r="O50" s="13"/>
      <c r="P50" s="13"/>
      <c r="Q50" s="13"/>
      <c r="R50" s="13"/>
      <c r="S50" s="28"/>
      <c r="T50" s="13"/>
      <c r="U50" s="13"/>
    </row>
    <row r="51" spans="12:21" x14ac:dyDescent="0.3">
      <c r="L51" s="13"/>
      <c r="M51" s="13"/>
      <c r="N51" s="13"/>
      <c r="O51" s="13"/>
      <c r="P51" s="13"/>
      <c r="Q51" s="13"/>
      <c r="R51" s="13"/>
      <c r="S51" s="27"/>
      <c r="T51" s="13"/>
      <c r="U51" s="13"/>
    </row>
    <row r="52" spans="12:21" x14ac:dyDescent="0.3">
      <c r="L52" s="13"/>
      <c r="M52" s="13"/>
      <c r="N52" s="13"/>
      <c r="O52" s="13"/>
      <c r="P52" s="13"/>
      <c r="Q52" s="13"/>
      <c r="R52" s="13"/>
      <c r="S52" s="27"/>
      <c r="T52" s="13"/>
      <c r="U52" s="13"/>
    </row>
    <row r="53" spans="12:21" x14ac:dyDescent="0.3">
      <c r="L53" s="13"/>
      <c r="M53" s="13"/>
      <c r="N53" s="13"/>
      <c r="O53" s="13"/>
      <c r="P53" s="13"/>
      <c r="Q53" s="13"/>
      <c r="R53" s="13"/>
      <c r="S53" s="27"/>
      <c r="T53" s="29"/>
      <c r="U53" s="13"/>
    </row>
    <row r="54" spans="12:21" x14ac:dyDescent="0.3"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2:21" x14ac:dyDescent="0.3">
      <c r="L55" s="13"/>
      <c r="M55" s="30"/>
      <c r="N55" s="13"/>
      <c r="O55" s="31"/>
      <c r="P55" s="30"/>
      <c r="Q55" s="13"/>
      <c r="R55" s="13"/>
      <c r="S55" s="13"/>
      <c r="T55" s="13"/>
      <c r="U55" s="13"/>
    </row>
    <row r="56" spans="12:21" x14ac:dyDescent="0.3">
      <c r="L56" s="13"/>
      <c r="M56" s="30"/>
      <c r="N56" s="13"/>
      <c r="O56" s="31"/>
      <c r="P56" s="30"/>
      <c r="Q56" s="13"/>
      <c r="R56" s="13"/>
      <c r="S56" s="13"/>
      <c r="T56" s="13"/>
      <c r="U56" s="13"/>
    </row>
    <row r="57" spans="12:21" x14ac:dyDescent="0.3">
      <c r="L57" s="13"/>
      <c r="M57" s="30"/>
      <c r="N57" s="13"/>
      <c r="O57" s="31"/>
      <c r="P57" s="30"/>
      <c r="Q57" s="13"/>
      <c r="R57" s="13"/>
      <c r="S57" s="13"/>
      <c r="T57" s="13"/>
      <c r="U57" s="13"/>
    </row>
    <row r="58" spans="12:21" x14ac:dyDescent="0.3"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73" spans="4:4" x14ac:dyDescent="0.3">
      <c r="D73" s="5"/>
    </row>
    <row r="74" spans="4:4" x14ac:dyDescent="0.3">
      <c r="D74" s="5"/>
    </row>
    <row r="77" spans="4:4" x14ac:dyDescent="0.3">
      <c r="D77" t="str">
        <f>IF(J27&lt;J16,"Not possible, too low!","")</f>
        <v/>
      </c>
    </row>
    <row r="79" spans="4:4" x14ac:dyDescent="0.3">
      <c r="D79" s="5"/>
    </row>
    <row r="80" spans="4:4" x14ac:dyDescent="0.3">
      <c r="D80" s="5"/>
    </row>
    <row r="86" spans="1:4" x14ac:dyDescent="0.3">
      <c r="D86" s="15"/>
    </row>
    <row r="87" spans="1:4" x14ac:dyDescent="0.3">
      <c r="D87" s="15"/>
    </row>
    <row r="88" spans="1:4" x14ac:dyDescent="0.3">
      <c r="D88" s="15"/>
    </row>
    <row r="89" spans="1:4" x14ac:dyDescent="0.3">
      <c r="D89" s="15"/>
    </row>
    <row r="90" spans="1:4" x14ac:dyDescent="0.3">
      <c r="D90" s="15"/>
    </row>
    <row r="91" spans="1:4" x14ac:dyDescent="0.3">
      <c r="D91" s="15"/>
    </row>
    <row r="92" spans="1:4" x14ac:dyDescent="0.3">
      <c r="D92" s="15"/>
    </row>
    <row r="95" spans="1:4" x14ac:dyDescent="0.3">
      <c r="A95" s="13"/>
      <c r="B95" s="4"/>
      <c r="C95" s="13"/>
    </row>
    <row r="96" spans="1:4" x14ac:dyDescent="0.3">
      <c r="A96" s="13"/>
      <c r="B96" s="3"/>
      <c r="C96" s="3"/>
      <c r="D96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6"/>
  <sheetViews>
    <sheetView showGridLines="0" zoomScaleNormal="100" workbookViewId="0">
      <selection activeCell="F11" sqref="F11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  <col min="13" max="13" width="9.6640625" customWidth="1"/>
    <col min="14" max="14" width="4.88671875" customWidth="1"/>
    <col min="15" max="15" width="1.6640625" customWidth="1"/>
    <col min="16" max="16" width="4" customWidth="1"/>
    <col min="17" max="17" width="3.33203125" customWidth="1"/>
    <col min="18" max="18" width="7.44140625" customWidth="1"/>
    <col min="19" max="19" width="6.109375" customWidth="1"/>
    <col min="20" max="20" width="6" customWidth="1"/>
  </cols>
  <sheetData>
    <row r="1" spans="1:18" x14ac:dyDescent="0.3">
      <c r="A1" s="1" t="s">
        <v>1</v>
      </c>
      <c r="B1" s="1"/>
      <c r="E1" s="1" t="s">
        <v>20</v>
      </c>
      <c r="I1" s="1" t="s">
        <v>75</v>
      </c>
    </row>
    <row r="2" spans="1:18" ht="15.6" x14ac:dyDescent="0.35">
      <c r="A2" t="s">
        <v>2</v>
      </c>
      <c r="B2" s="58">
        <v>3</v>
      </c>
      <c r="C2" t="s">
        <v>3</v>
      </c>
      <c r="E2" t="s">
        <v>4</v>
      </c>
      <c r="F2" s="16">
        <f>2*PI()*B2/9.81/B3^2</f>
        <v>2.0006907504071268E-2</v>
      </c>
      <c r="G2" s="2" t="s">
        <v>5</v>
      </c>
      <c r="I2" t="s">
        <v>40</v>
      </c>
      <c r="J2" s="4">
        <f>B6-0.4*B2</f>
        <v>-0.20000000000000018</v>
      </c>
      <c r="K2" t="s">
        <v>10</v>
      </c>
    </row>
    <row r="3" spans="1:18" ht="15.6" x14ac:dyDescent="0.35">
      <c r="A3" t="s">
        <v>6</v>
      </c>
      <c r="B3" s="58">
        <v>9.8000000000000007</v>
      </c>
      <c r="C3" t="s">
        <v>7</v>
      </c>
      <c r="E3" t="s">
        <v>22</v>
      </c>
      <c r="F3" s="3">
        <f>(B14-B13)/B13</f>
        <v>1.5365853658536586</v>
      </c>
      <c r="G3" s="2" t="s">
        <v>5</v>
      </c>
      <c r="I3" t="s">
        <v>42</v>
      </c>
      <c r="J3">
        <f>B7-0.4*B8</f>
        <v>-1.2000000000000002</v>
      </c>
      <c r="K3" t="s">
        <v>10</v>
      </c>
    </row>
    <row r="4" spans="1:18" ht="15.6" x14ac:dyDescent="0.35">
      <c r="A4" t="s">
        <v>8</v>
      </c>
      <c r="B4" s="58">
        <v>3.5</v>
      </c>
      <c r="C4" t="s">
        <v>3</v>
      </c>
      <c r="E4" t="s">
        <v>90</v>
      </c>
      <c r="F4" s="4">
        <f>B17+(B18-B17)/2</f>
        <v>2.5</v>
      </c>
      <c r="G4" t="s">
        <v>19</v>
      </c>
      <c r="I4" s="58" t="s">
        <v>103</v>
      </c>
      <c r="J4" s="58">
        <v>-1.8</v>
      </c>
      <c r="K4" t="s">
        <v>10</v>
      </c>
    </row>
    <row r="5" spans="1:18" ht="15.6" x14ac:dyDescent="0.35">
      <c r="A5" t="s">
        <v>9</v>
      </c>
      <c r="B5" s="58">
        <v>1</v>
      </c>
      <c r="C5" t="s">
        <v>10</v>
      </c>
      <c r="E5" t="s">
        <v>91</v>
      </c>
      <c r="F5" s="3">
        <f>(F4*1000/B14)^(1/3)</f>
        <v>0.98701151687428557</v>
      </c>
      <c r="G5" t="s">
        <v>3</v>
      </c>
      <c r="I5" s="5" t="s">
        <v>94</v>
      </c>
      <c r="J5" s="5">
        <f>B7-0.6*B8</f>
        <v>-1.7999999999999998</v>
      </c>
      <c r="K5" t="s">
        <v>10</v>
      </c>
    </row>
    <row r="6" spans="1:18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1.9780731217441556</v>
      </c>
      <c r="G6" s="2" t="s">
        <v>5</v>
      </c>
    </row>
    <row r="7" spans="1:18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Hardly reshaping</v>
      </c>
      <c r="I7" s="1" t="s">
        <v>68</v>
      </c>
    </row>
    <row r="8" spans="1:18" ht="15.6" x14ac:dyDescent="0.35">
      <c r="A8" t="s">
        <v>12</v>
      </c>
      <c r="B8" s="58">
        <v>3</v>
      </c>
      <c r="C8" t="s">
        <v>3</v>
      </c>
      <c r="E8" t="s">
        <v>92</v>
      </c>
      <c r="F8" s="21">
        <f>IF(B21="",2,3)</f>
        <v>2</v>
      </c>
      <c r="I8" t="s">
        <v>36</v>
      </c>
      <c r="J8" s="4">
        <f>1.2*B2+B5</f>
        <v>4.5999999999999996</v>
      </c>
      <c r="K8" t="s">
        <v>10</v>
      </c>
    </row>
    <row r="9" spans="1:18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1.4940685143976971</v>
      </c>
      <c r="G9" t="s">
        <v>3</v>
      </c>
      <c r="I9" t="s">
        <v>37</v>
      </c>
      <c r="J9" s="4">
        <f>1.4*B2+B5</f>
        <v>5.1999999999999993</v>
      </c>
      <c r="K9" t="s">
        <v>10</v>
      </c>
    </row>
    <row r="10" spans="1:18" ht="15.6" x14ac:dyDescent="0.35">
      <c r="A10" t="s">
        <v>71</v>
      </c>
      <c r="B10" s="58">
        <v>-9</v>
      </c>
      <c r="C10" t="s">
        <v>10</v>
      </c>
      <c r="E10" t="s">
        <v>74</v>
      </c>
      <c r="F10" s="3">
        <f>(1.6*(F6*F5*B4/B2-1)^2.5-F9)/2+F9</f>
        <v>2.2235167926199457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0.45663558289834605</v>
      </c>
    </row>
    <row r="11" spans="1:18" ht="15.6" x14ac:dyDescent="0.35">
      <c r="A11" t="s">
        <v>14</v>
      </c>
      <c r="B11" s="59">
        <v>5</v>
      </c>
      <c r="C11" t="s">
        <v>106</v>
      </c>
      <c r="E11" t="s">
        <v>118</v>
      </c>
      <c r="F11" s="20">
        <f>((B19+(B20-B19)/2)*1000/B14)^(1/3)</f>
        <v>0.61337485379652124</v>
      </c>
      <c r="G11" t="s">
        <v>3</v>
      </c>
      <c r="I11" t="s">
        <v>84</v>
      </c>
      <c r="J11" s="19">
        <f>(-1*LN(B11/1000/0.1035/(9.81*B2^3)^0.5))^(1/1.3)*B2*J10/(1.35)+B5</f>
        <v>4.9331940162119938</v>
      </c>
      <c r="K11" t="s">
        <v>10</v>
      </c>
    </row>
    <row r="12" spans="1:18" ht="15.6" x14ac:dyDescent="0.35">
      <c r="A12" t="s">
        <v>15</v>
      </c>
      <c r="B12" s="59">
        <v>20</v>
      </c>
      <c r="C12" t="s">
        <v>106</v>
      </c>
      <c r="E12" t="s">
        <v>93</v>
      </c>
      <c r="F12" s="33" t="str">
        <f>IF(F8=2,"No Class III",((B21+(B22-B21)/2)*1000/B14)^(1/3))</f>
        <v>No Class III</v>
      </c>
      <c r="G12" t="str">
        <f>IF(F8=2,"","m")</f>
        <v/>
      </c>
      <c r="I12" t="s">
        <v>85</v>
      </c>
      <c r="J12" s="19">
        <f>(-1*LN(B12/1000/0.1035/(9.81*B4^3)^0.5))^(1/1.3)*B4*J10/(1.35)+B5</f>
        <v>4.8706395530486741</v>
      </c>
      <c r="K12" t="s">
        <v>10</v>
      </c>
    </row>
    <row r="13" spans="1:18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4.8</v>
      </c>
      <c r="K13" t="s">
        <v>10</v>
      </c>
      <c r="R13" s="5"/>
    </row>
    <row r="14" spans="1:18" ht="16.2" x14ac:dyDescent="0.3">
      <c r="A14" t="s">
        <v>17</v>
      </c>
      <c r="B14" s="58">
        <v>2600</v>
      </c>
      <c r="C14" t="s">
        <v>18</v>
      </c>
      <c r="E14" s="1" t="s">
        <v>34</v>
      </c>
    </row>
    <row r="15" spans="1:18" ht="21" x14ac:dyDescent="0.4">
      <c r="B15" s="58"/>
      <c r="C15" s="2"/>
      <c r="E15" s="5" t="s">
        <v>0</v>
      </c>
      <c r="F15" s="58">
        <v>20</v>
      </c>
      <c r="G15" t="s">
        <v>25</v>
      </c>
      <c r="I15" s="1" t="s">
        <v>95</v>
      </c>
      <c r="J15" s="17"/>
      <c r="M15" s="23" t="s">
        <v>110</v>
      </c>
      <c r="N15" s="23"/>
      <c r="O15" s="23"/>
      <c r="P15" s="23"/>
      <c r="Q15" s="23"/>
      <c r="R15" s="23"/>
    </row>
    <row r="16" spans="1:18" ht="21" x14ac:dyDescent="0.4">
      <c r="A16" s="1" t="s">
        <v>88</v>
      </c>
      <c r="B16" s="58"/>
      <c r="C16" s="2"/>
      <c r="E16" t="s">
        <v>60</v>
      </c>
      <c r="F16" s="3">
        <f>F9/(F15/100)</f>
        <v>7.4703425719884846</v>
      </c>
      <c r="G16" t="s">
        <v>3</v>
      </c>
      <c r="I16" t="s">
        <v>97</v>
      </c>
      <c r="J16" s="11">
        <f>IF(F8=3,B10+1.5+2*F12,B10+1.5+2*F11)</f>
        <v>-6.2732502924069573</v>
      </c>
      <c r="K16" t="s">
        <v>10</v>
      </c>
      <c r="M16" s="25" t="str">
        <f>IF('Output file'!B21="","MA: two classes", "IC: three classes")</f>
        <v>MA: two classes</v>
      </c>
      <c r="N16" s="24"/>
      <c r="O16" s="24"/>
      <c r="P16" s="24"/>
      <c r="Q16" s="24"/>
      <c r="R16" s="24"/>
    </row>
    <row r="17" spans="1:20" ht="15.6" x14ac:dyDescent="0.35">
      <c r="A17" t="s">
        <v>114</v>
      </c>
      <c r="B17" s="58">
        <v>1</v>
      </c>
      <c r="C17" t="s">
        <v>19</v>
      </c>
      <c r="E17" t="s">
        <v>61</v>
      </c>
      <c r="F17" s="3">
        <f>MAX(F9+F5,3*F5)</f>
        <v>2.9610345506228568</v>
      </c>
      <c r="G17" t="s">
        <v>3</v>
      </c>
      <c r="I17" s="10" t="s">
        <v>35</v>
      </c>
    </row>
    <row r="18" spans="1:20" ht="15.6" x14ac:dyDescent="0.35">
      <c r="A18" t="s">
        <v>116</v>
      </c>
      <c r="B18" s="58">
        <v>4</v>
      </c>
      <c r="C18" t="s">
        <v>19</v>
      </c>
      <c r="E18" t="s">
        <v>28</v>
      </c>
      <c r="F18">
        <f>B5+0.6*B2</f>
        <v>2.8</v>
      </c>
      <c r="G18" t="s">
        <v>10</v>
      </c>
      <c r="I18" t="s">
        <v>44</v>
      </c>
      <c r="J18" s="58">
        <v>2</v>
      </c>
      <c r="K18" s="2" t="s">
        <v>5</v>
      </c>
    </row>
    <row r="19" spans="1:20" ht="15.6" x14ac:dyDescent="0.35">
      <c r="A19" t="s">
        <v>115</v>
      </c>
      <c r="B19" s="58">
        <v>0.2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-3.8292481240734926</v>
      </c>
      <c r="K19" t="s">
        <v>10</v>
      </c>
    </row>
    <row r="20" spans="1:20" ht="15.6" x14ac:dyDescent="0.35">
      <c r="A20" t="s">
        <v>117</v>
      </c>
      <c r="B20" s="58">
        <v>1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7.8732411251986703</v>
      </c>
      <c r="K20" s="63" t="str">
        <f>IF(AND(3&lt;(B6-J19)/(IF(F8=3,F12,F11)),(B6-J19)/(IF(F8=3,F12,F11))&lt;25),"ok","out of range")</f>
        <v>ok</v>
      </c>
    </row>
    <row r="21" spans="1:20" ht="15.6" x14ac:dyDescent="0.35">
      <c r="A21" t="s">
        <v>82</v>
      </c>
      <c r="B21" s="58"/>
      <c r="C21" t="s">
        <v>19</v>
      </c>
      <c r="E21" t="s">
        <v>32</v>
      </c>
      <c r="F21" s="3">
        <f>F20+2*F5</f>
        <v>3.9740230337485709</v>
      </c>
      <c r="G21" t="s">
        <v>10</v>
      </c>
      <c r="I21" t="s">
        <v>47</v>
      </c>
      <c r="J21" s="11">
        <f>(B6-J19)/(B6-B10)</f>
        <v>0.48292481240734925</v>
      </c>
      <c r="K21" s="63" t="str">
        <f>IF(AND(0.4&lt;(B6-J19)/(B6-B10),(B6-J19)/(B6-B10)&lt;0.9),"ok","out of range")</f>
        <v>ok</v>
      </c>
    </row>
    <row r="22" spans="1:20" ht="15.6" x14ac:dyDescent="0.35">
      <c r="A22" t="s">
        <v>83</v>
      </c>
      <c r="B22" s="58"/>
      <c r="C22" t="s">
        <v>19</v>
      </c>
      <c r="E22" s="58" t="s">
        <v>100</v>
      </c>
      <c r="F22" s="60">
        <v>8</v>
      </c>
      <c r="G22" t="s">
        <v>3</v>
      </c>
      <c r="I22" s="10" t="s">
        <v>39</v>
      </c>
      <c r="J22" s="11"/>
    </row>
    <row r="23" spans="1:20" ht="15.6" x14ac:dyDescent="0.35">
      <c r="E23" s="58" t="s">
        <v>101</v>
      </c>
      <c r="F23" s="60">
        <v>4</v>
      </c>
      <c r="G23" t="s">
        <v>10</v>
      </c>
      <c r="I23" t="s">
        <v>45</v>
      </c>
      <c r="J23" s="58">
        <v>4</v>
      </c>
      <c r="K23" s="2" t="s">
        <v>5</v>
      </c>
    </row>
    <row r="24" spans="1:20" ht="15.6" x14ac:dyDescent="0.35">
      <c r="I24" t="s">
        <v>99</v>
      </c>
      <c r="J24" s="11">
        <f>B6-((((B4/F3/(IF(F8=3,F12,F11)))*J23^-0.15)-2)/6.2)^(1/2.7)*(B6-B10)</f>
        <v>-4.1182835832289166</v>
      </c>
      <c r="K24" t="s">
        <v>10</v>
      </c>
    </row>
    <row r="25" spans="1:20" ht="15.6" x14ac:dyDescent="0.35">
      <c r="E25" s="6" t="s">
        <v>26</v>
      </c>
      <c r="F25" s="4">
        <f>2*F6*B2</f>
        <v>11.868438730464934</v>
      </c>
      <c r="G25" t="s">
        <v>3</v>
      </c>
      <c r="I25" t="s">
        <v>46</v>
      </c>
      <c r="J25" s="12">
        <f>(B6-J24)/(IF(F8=3,F12,F11))</f>
        <v>8.3444626912058535</v>
      </c>
      <c r="K25" s="63" t="str">
        <f>IF(AND(3&lt;(B6-J24)/(IF(F8=3,F12,F11)),(B6-J24)/(IF(F8=3,F12,F11))&lt;25),"ok","out of range")</f>
        <v>ok</v>
      </c>
    </row>
    <row r="26" spans="1:20" ht="15.6" x14ac:dyDescent="0.35">
      <c r="E26" s="58" t="s">
        <v>102</v>
      </c>
      <c r="F26" s="61">
        <v>12</v>
      </c>
      <c r="G26" t="s">
        <v>48</v>
      </c>
      <c r="I26" t="s">
        <v>47</v>
      </c>
      <c r="J26" s="11">
        <f>(B6-J24)/(B6-B10)</f>
        <v>0.51182835832289164</v>
      </c>
      <c r="K26" s="63" t="str">
        <f>IF(AND(0.4&lt;(B6-J24)/(B6-B10),(B6-J19)/(B6-B10)&lt;0.9),"ok","out of range")</f>
        <v>ok</v>
      </c>
    </row>
    <row r="27" spans="1:20" x14ac:dyDescent="0.3">
      <c r="I27" s="58" t="s">
        <v>109</v>
      </c>
      <c r="J27" s="58">
        <v>0</v>
      </c>
      <c r="K27" t="s">
        <v>10</v>
      </c>
    </row>
    <row r="28" spans="1:20" ht="15.6" x14ac:dyDescent="0.35">
      <c r="I28" s="58" t="s">
        <v>105</v>
      </c>
      <c r="J28" s="58">
        <v>1.5</v>
      </c>
      <c r="K28" s="2" t="s">
        <v>5</v>
      </c>
    </row>
    <row r="29" spans="1:20" ht="15" thickBot="1" x14ac:dyDescent="0.35"/>
    <row r="30" spans="1:20" x14ac:dyDescent="0.3">
      <c r="M30" s="34" t="s">
        <v>87</v>
      </c>
      <c r="N30" s="35"/>
      <c r="O30" s="35"/>
      <c r="P30" s="35"/>
      <c r="Q30" s="35"/>
      <c r="R30" s="35"/>
      <c r="S30" s="36"/>
      <c r="T30" s="37"/>
    </row>
    <row r="31" spans="1:20" x14ac:dyDescent="0.3">
      <c r="M31" s="38" t="s">
        <v>64</v>
      </c>
      <c r="N31" s="39"/>
      <c r="O31" s="39"/>
      <c r="P31" s="39"/>
      <c r="Q31" s="39"/>
      <c r="R31" s="39"/>
      <c r="S31" s="40">
        <f>'Output file'!F22</f>
        <v>8</v>
      </c>
      <c r="T31" s="41" t="s">
        <v>3</v>
      </c>
    </row>
    <row r="32" spans="1:20" x14ac:dyDescent="0.3">
      <c r="M32" s="38" t="s">
        <v>65</v>
      </c>
      <c r="N32" s="39"/>
      <c r="O32" s="39"/>
      <c r="P32" s="39"/>
      <c r="Q32" s="39"/>
      <c r="R32" s="39"/>
      <c r="S32" s="40">
        <f>'Output file'!F23</f>
        <v>4</v>
      </c>
      <c r="T32" s="41" t="s">
        <v>10</v>
      </c>
    </row>
    <row r="33" spans="4:20" ht="15.6" x14ac:dyDescent="0.35">
      <c r="M33" s="38" t="s">
        <v>66</v>
      </c>
      <c r="N33" s="39"/>
      <c r="O33" s="39"/>
      <c r="P33" s="39"/>
      <c r="Q33" s="39"/>
      <c r="R33" s="39"/>
      <c r="S33" s="42">
        <f>'Output file'!F26</f>
        <v>12</v>
      </c>
      <c r="T33" s="41" t="s">
        <v>48</v>
      </c>
    </row>
    <row r="34" spans="4:20" x14ac:dyDescent="0.3">
      <c r="M34" s="38" t="s">
        <v>70</v>
      </c>
      <c r="N34" s="39"/>
      <c r="O34" s="39"/>
      <c r="P34" s="39"/>
      <c r="Q34" s="39"/>
      <c r="R34" s="39"/>
      <c r="S34" s="39">
        <f>'Output file'!J4</f>
        <v>-1.8</v>
      </c>
      <c r="T34" s="41" t="s">
        <v>10</v>
      </c>
    </row>
    <row r="35" spans="4:20" x14ac:dyDescent="0.3">
      <c r="D35" s="5"/>
      <c r="M35" s="38" t="s">
        <v>67</v>
      </c>
      <c r="N35" s="39"/>
      <c r="O35" s="39"/>
      <c r="P35" s="39"/>
      <c r="Q35" s="39"/>
      <c r="R35" s="39"/>
      <c r="S35" s="43">
        <f>'Output file'!J13</f>
        <v>4.8</v>
      </c>
      <c r="T35" s="41" t="s">
        <v>10</v>
      </c>
    </row>
    <row r="36" spans="4:20" x14ac:dyDescent="0.3">
      <c r="M36" s="38" t="s">
        <v>69</v>
      </c>
      <c r="N36" s="39"/>
      <c r="O36" s="39"/>
      <c r="P36" s="39"/>
      <c r="Q36" s="39"/>
      <c r="R36" s="39"/>
      <c r="S36" s="39">
        <f>'Output file'!J27</f>
        <v>0</v>
      </c>
      <c r="T36" s="41" t="s">
        <v>10</v>
      </c>
    </row>
    <row r="37" spans="4:20" ht="16.2" thickBot="1" x14ac:dyDescent="0.4">
      <c r="M37" s="44" t="s">
        <v>105</v>
      </c>
      <c r="N37" s="45"/>
      <c r="O37" s="45"/>
      <c r="P37" s="45"/>
      <c r="Q37" s="45"/>
      <c r="R37" s="45"/>
      <c r="S37" s="45">
        <f>'Output file'!J28</f>
        <v>1.5</v>
      </c>
      <c r="T37" s="46" t="s">
        <v>5</v>
      </c>
    </row>
    <row r="38" spans="4:20" ht="15" thickBot="1" x14ac:dyDescent="0.35">
      <c r="R38" s="5"/>
    </row>
    <row r="39" spans="4:20" x14ac:dyDescent="0.3">
      <c r="M39" s="47" t="s">
        <v>111</v>
      </c>
      <c r="N39" s="36">
        <f>'Output file'!B17</f>
        <v>1</v>
      </c>
      <c r="O39" s="48" t="s">
        <v>5</v>
      </c>
      <c r="P39" s="49">
        <f>'Output file'!B18</f>
        <v>4</v>
      </c>
      <c r="Q39" s="37" t="s">
        <v>19</v>
      </c>
      <c r="R39" s="13"/>
    </row>
    <row r="40" spans="4:20" x14ac:dyDescent="0.3">
      <c r="M40" s="50" t="s">
        <v>112</v>
      </c>
      <c r="N40" s="39">
        <f>'Output file'!B19</f>
        <v>0.2</v>
      </c>
      <c r="O40" s="51" t="s">
        <v>5</v>
      </c>
      <c r="P40" s="52">
        <f>'Output file'!B20</f>
        <v>1</v>
      </c>
      <c r="Q40" s="41" t="s">
        <v>19</v>
      </c>
      <c r="R40" s="13"/>
    </row>
    <row r="41" spans="4:20" ht="15" thickBot="1" x14ac:dyDescent="0.35">
      <c r="M41" s="53" t="s">
        <v>113</v>
      </c>
      <c r="N41" s="45">
        <f>'Output file'!B21</f>
        <v>0</v>
      </c>
      <c r="O41" s="54" t="s">
        <v>5</v>
      </c>
      <c r="P41" s="55">
        <f>'Output file'!B22</f>
        <v>0</v>
      </c>
      <c r="Q41" s="56" t="s">
        <v>19</v>
      </c>
      <c r="R41" s="13"/>
    </row>
    <row r="45" spans="4:20" ht="15" thickBot="1" x14ac:dyDescent="0.35">
      <c r="E45" s="5"/>
    </row>
    <row r="46" spans="4:20" x14ac:dyDescent="0.3">
      <c r="E46" s="5"/>
      <c r="M46" s="34" t="s">
        <v>87</v>
      </c>
      <c r="N46" s="35"/>
      <c r="O46" s="35"/>
      <c r="P46" s="35"/>
      <c r="Q46" s="35"/>
      <c r="R46" s="35"/>
      <c r="S46" s="36"/>
      <c r="T46" s="37"/>
    </row>
    <row r="47" spans="4:20" x14ac:dyDescent="0.3">
      <c r="M47" s="38" t="s">
        <v>64</v>
      </c>
      <c r="N47" s="39"/>
      <c r="O47" s="39"/>
      <c r="P47" s="39"/>
      <c r="Q47" s="39"/>
      <c r="R47" s="39"/>
      <c r="S47" s="40">
        <f t="shared" ref="S47:S53" si="0">S31</f>
        <v>8</v>
      </c>
      <c r="T47" s="41" t="s">
        <v>3</v>
      </c>
    </row>
    <row r="48" spans="4:20" x14ac:dyDescent="0.3">
      <c r="M48" s="38" t="s">
        <v>65</v>
      </c>
      <c r="N48" s="39"/>
      <c r="O48" s="39"/>
      <c r="P48" s="39"/>
      <c r="Q48" s="39"/>
      <c r="R48" s="39"/>
      <c r="S48" s="40">
        <f t="shared" si="0"/>
        <v>4</v>
      </c>
      <c r="T48" s="41" t="s">
        <v>10</v>
      </c>
    </row>
    <row r="49" spans="13:20" ht="15.6" x14ac:dyDescent="0.35">
      <c r="M49" s="38" t="s">
        <v>66</v>
      </c>
      <c r="N49" s="39"/>
      <c r="O49" s="39"/>
      <c r="P49" s="39"/>
      <c r="Q49" s="39"/>
      <c r="R49" s="39"/>
      <c r="S49" s="42">
        <f t="shared" si="0"/>
        <v>12</v>
      </c>
      <c r="T49" s="41" t="s">
        <v>48</v>
      </c>
    </row>
    <row r="50" spans="13:20" x14ac:dyDescent="0.3">
      <c r="M50" s="38" t="s">
        <v>70</v>
      </c>
      <c r="N50" s="39"/>
      <c r="O50" s="39"/>
      <c r="P50" s="39"/>
      <c r="Q50" s="39"/>
      <c r="R50" s="39"/>
      <c r="S50" s="42">
        <f t="shared" si="0"/>
        <v>-1.8</v>
      </c>
      <c r="T50" s="41" t="s">
        <v>10</v>
      </c>
    </row>
    <row r="51" spans="13:20" x14ac:dyDescent="0.3">
      <c r="M51" s="38" t="s">
        <v>67</v>
      </c>
      <c r="N51" s="39"/>
      <c r="O51" s="39"/>
      <c r="P51" s="39"/>
      <c r="Q51" s="39"/>
      <c r="R51" s="39"/>
      <c r="S51" s="40">
        <f t="shared" si="0"/>
        <v>4.8</v>
      </c>
      <c r="T51" s="41" t="s">
        <v>10</v>
      </c>
    </row>
    <row r="52" spans="13:20" x14ac:dyDescent="0.3">
      <c r="M52" s="38" t="s">
        <v>69</v>
      </c>
      <c r="N52" s="39"/>
      <c r="O52" s="39"/>
      <c r="P52" s="39"/>
      <c r="Q52" s="39"/>
      <c r="R52" s="39"/>
      <c r="S52" s="40">
        <f t="shared" si="0"/>
        <v>0</v>
      </c>
      <c r="T52" s="41" t="s">
        <v>10</v>
      </c>
    </row>
    <row r="53" spans="13:20" ht="16.2" thickBot="1" x14ac:dyDescent="0.4">
      <c r="M53" s="44" t="s">
        <v>105</v>
      </c>
      <c r="N53" s="45"/>
      <c r="O53" s="45"/>
      <c r="P53" s="45"/>
      <c r="Q53" s="45"/>
      <c r="R53" s="45"/>
      <c r="S53" s="57">
        <f t="shared" si="0"/>
        <v>1.5</v>
      </c>
      <c r="T53" s="46" t="s">
        <v>5</v>
      </c>
    </row>
    <row r="54" spans="13:20" ht="15" thickBot="1" x14ac:dyDescent="0.35">
      <c r="R54" s="5"/>
    </row>
    <row r="55" spans="13:20" x14ac:dyDescent="0.3">
      <c r="M55" s="47" t="s">
        <v>111</v>
      </c>
      <c r="N55" s="36">
        <f>N39</f>
        <v>1</v>
      </c>
      <c r="O55" s="48" t="s">
        <v>5</v>
      </c>
      <c r="P55" s="49">
        <f>P39</f>
        <v>4</v>
      </c>
      <c r="Q55" s="37" t="s">
        <v>19</v>
      </c>
      <c r="R55" s="13"/>
    </row>
    <row r="56" spans="13:20" ht="15" thickBot="1" x14ac:dyDescent="0.35">
      <c r="M56" s="53" t="s">
        <v>112</v>
      </c>
      <c r="N56" s="45">
        <f>N40</f>
        <v>0.2</v>
      </c>
      <c r="O56" s="54" t="s">
        <v>5</v>
      </c>
      <c r="P56" s="55">
        <f>P40</f>
        <v>1</v>
      </c>
      <c r="Q56" s="56" t="s">
        <v>19</v>
      </c>
      <c r="R56" s="13"/>
    </row>
    <row r="57" spans="13:20" ht="15" thickBot="1" x14ac:dyDescent="0.35">
      <c r="M57" s="53" t="s">
        <v>113</v>
      </c>
      <c r="N57" s="45">
        <f>N41</f>
        <v>0</v>
      </c>
      <c r="O57" s="54" t="s">
        <v>5</v>
      </c>
      <c r="P57" s="55">
        <f>P41</f>
        <v>0</v>
      </c>
      <c r="Q57" s="56" t="s">
        <v>19</v>
      </c>
      <c r="R57" s="13"/>
    </row>
    <row r="73" spans="4:4" x14ac:dyDescent="0.3">
      <c r="D73" s="5"/>
    </row>
    <row r="74" spans="4:4" x14ac:dyDescent="0.3">
      <c r="D74" s="5"/>
    </row>
    <row r="77" spans="4:4" x14ac:dyDescent="0.3">
      <c r="D77" t="str">
        <f>IF(J27&lt;J16,"Not possible, too low!","")</f>
        <v/>
      </c>
    </row>
    <row r="79" spans="4:4" x14ac:dyDescent="0.3">
      <c r="D79" s="5"/>
    </row>
    <row r="80" spans="4:4" x14ac:dyDescent="0.3">
      <c r="D80" s="5"/>
    </row>
    <row r="86" spans="1:4" x14ac:dyDescent="0.3">
      <c r="D86" s="15"/>
    </row>
    <row r="87" spans="1:4" x14ac:dyDescent="0.3">
      <c r="D87" s="15"/>
    </row>
    <row r="88" spans="1:4" x14ac:dyDescent="0.3">
      <c r="D88" s="15"/>
    </row>
    <row r="89" spans="1:4" x14ac:dyDescent="0.3">
      <c r="D89" s="15"/>
    </row>
    <row r="90" spans="1:4" x14ac:dyDescent="0.3">
      <c r="D90" s="15"/>
    </row>
    <row r="91" spans="1:4" x14ac:dyDescent="0.3">
      <c r="D91" s="15"/>
    </row>
    <row r="92" spans="1:4" x14ac:dyDescent="0.3">
      <c r="D92" s="15"/>
    </row>
    <row r="95" spans="1:4" x14ac:dyDescent="0.3">
      <c r="A95" s="13"/>
      <c r="B95" s="4"/>
      <c r="C95" s="13"/>
    </row>
    <row r="96" spans="1:4" x14ac:dyDescent="0.3">
      <c r="A96" s="13"/>
      <c r="B96" s="3"/>
      <c r="C96" s="3"/>
      <c r="D96" s="14"/>
    </row>
  </sheetData>
  <pageMargins left="0.7" right="0.7" top="0.75" bottom="0.75" header="0.3" footer="0.3"/>
  <pageSetup paperSize="9" scale="70" orientation="landscape" r:id="rId1"/>
  <rowBreaks count="2" manualBreakCount="2">
    <brk id="47" max="4" man="1"/>
    <brk id="84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37"/>
  <sheetViews>
    <sheetView topLeftCell="A103" zoomScaleNormal="100" workbookViewId="0">
      <selection activeCell="F110" sqref="F110"/>
    </sheetView>
  </sheetViews>
  <sheetFormatPr defaultRowHeight="14.4" x14ac:dyDescent="0.3"/>
  <sheetData>
    <row r="2" spans="1:11" x14ac:dyDescent="0.3">
      <c r="A2" s="18" t="s">
        <v>77</v>
      </c>
      <c r="B2" s="18"/>
      <c r="C2" s="18"/>
    </row>
    <row r="3" spans="1:11" x14ac:dyDescent="0.3">
      <c r="A3" s="18" t="s">
        <v>78</v>
      </c>
      <c r="B3" s="18"/>
      <c r="C3" s="18"/>
    </row>
    <row r="14" spans="1:1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3">
      <c r="A16" s="5"/>
      <c r="B16" s="5"/>
      <c r="C16" s="5"/>
      <c r="D16" s="5"/>
      <c r="E16" s="5"/>
      <c r="F16" s="5"/>
      <c r="G16" s="5"/>
    </row>
    <row r="18" spans="13:13" x14ac:dyDescent="0.3">
      <c r="M18" s="5"/>
    </row>
    <row r="33" spans="1:5" x14ac:dyDescent="0.3">
      <c r="A33" s="18" t="s">
        <v>89</v>
      </c>
      <c r="B33" s="18"/>
      <c r="C33" s="18"/>
      <c r="D33" s="18"/>
      <c r="E33" s="18"/>
    </row>
    <row r="34" spans="1:5" x14ac:dyDescent="0.3">
      <c r="A34" s="5"/>
      <c r="B34" s="5"/>
      <c r="C34" s="5"/>
      <c r="D34" s="5"/>
      <c r="E34" s="5"/>
    </row>
    <row r="35" spans="1:5" x14ac:dyDescent="0.3">
      <c r="A35" s="5"/>
      <c r="B35" s="5"/>
      <c r="C35" s="5"/>
      <c r="D35" s="5"/>
      <c r="E35" s="5"/>
    </row>
    <row r="44" spans="1:5" ht="15.6" x14ac:dyDescent="0.35">
      <c r="A44" s="8" t="s">
        <v>33</v>
      </c>
      <c r="B44" s="8"/>
      <c r="C44" s="8"/>
    </row>
    <row r="45" spans="1:5" x14ac:dyDescent="0.3">
      <c r="A45" s="5"/>
      <c r="B45" s="5"/>
      <c r="C45" s="5"/>
    </row>
    <row r="46" spans="1:5" x14ac:dyDescent="0.3">
      <c r="A46" s="5"/>
      <c r="B46" s="5"/>
      <c r="C46" s="5"/>
    </row>
    <row r="48" spans="1:5" x14ac:dyDescent="0.3">
      <c r="A48" s="7" t="s">
        <v>27</v>
      </c>
      <c r="B48" s="7"/>
      <c r="C48" s="7"/>
    </row>
    <row r="49" spans="1:10" x14ac:dyDescent="0.3">
      <c r="A49" s="5"/>
      <c r="B49" s="5"/>
      <c r="C49" s="5"/>
    </row>
    <row r="52" spans="1:10" ht="15.6" x14ac:dyDescent="0.35">
      <c r="A52" s="7" t="s">
        <v>41</v>
      </c>
      <c r="B52" s="7"/>
      <c r="C52" s="7"/>
      <c r="D52" s="7"/>
    </row>
    <row r="55" spans="1:10" ht="15.6" x14ac:dyDescent="0.35">
      <c r="A55" s="18" t="s">
        <v>76</v>
      </c>
      <c r="B55" s="18"/>
      <c r="C55" s="18"/>
      <c r="D55" s="18"/>
    </row>
    <row r="63" spans="1:10" x14ac:dyDescent="0.3">
      <c r="B63" s="18"/>
      <c r="C63" s="18"/>
      <c r="D63" s="18"/>
      <c r="E63" s="18"/>
    </row>
    <row r="64" spans="1:10" x14ac:dyDescent="0.3">
      <c r="A64" s="18" t="s">
        <v>79</v>
      </c>
      <c r="B64" s="18"/>
      <c r="C64" s="18"/>
      <c r="D64" s="18"/>
      <c r="E64" s="18"/>
      <c r="F64" s="18"/>
      <c r="G64" s="18"/>
      <c r="H64" s="18"/>
      <c r="I64" s="18"/>
      <c r="J64" s="18"/>
    </row>
    <row r="65" spans="1:10" x14ac:dyDescent="0.3">
      <c r="A65" s="18" t="s">
        <v>80</v>
      </c>
      <c r="B65" s="18"/>
      <c r="C65" s="18"/>
      <c r="D65" s="18"/>
      <c r="E65" s="18"/>
      <c r="F65" s="18"/>
      <c r="G65" s="18"/>
      <c r="H65" s="18"/>
      <c r="I65" s="18"/>
      <c r="J65" s="18"/>
    </row>
    <row r="68" spans="1:10" x14ac:dyDescent="0.3">
      <c r="A68" s="9" t="s">
        <v>96</v>
      </c>
      <c r="B68" s="9"/>
      <c r="C68" s="9"/>
      <c r="D68" s="9"/>
      <c r="E68" s="9"/>
      <c r="F68" s="9"/>
      <c r="G68" s="9"/>
    </row>
    <row r="77" spans="1:10" x14ac:dyDescent="0.3">
      <c r="A77" s="5"/>
      <c r="B77" s="5"/>
      <c r="C77" s="5"/>
      <c r="D77" s="5"/>
      <c r="E77" s="5"/>
      <c r="F77" s="5"/>
      <c r="G77" s="5"/>
    </row>
    <row r="78" spans="1:10" x14ac:dyDescent="0.3">
      <c r="A78" s="5"/>
      <c r="B78" s="5"/>
      <c r="C78" s="5"/>
      <c r="D78" s="5"/>
      <c r="E78" s="5"/>
      <c r="F78" t="s">
        <v>43</v>
      </c>
      <c r="G78" s="5"/>
    </row>
    <row r="79" spans="1:10" x14ac:dyDescent="0.3">
      <c r="A79" s="18" t="s">
        <v>81</v>
      </c>
      <c r="B79" s="18"/>
      <c r="C79" s="18"/>
      <c r="D79" s="18"/>
      <c r="E79" s="18"/>
      <c r="F79" s="18"/>
      <c r="G79" s="18"/>
      <c r="H79" s="18"/>
    </row>
    <row r="80" spans="1:10" x14ac:dyDescent="0.3">
      <c r="A80" s="18" t="s">
        <v>86</v>
      </c>
      <c r="B80" s="18"/>
      <c r="C80" s="18"/>
      <c r="D80" s="18"/>
      <c r="E80" s="18"/>
      <c r="F80" s="18"/>
      <c r="G80" s="18"/>
      <c r="H80" s="18"/>
    </row>
    <row r="89" spans="1:6" x14ac:dyDescent="0.3">
      <c r="E89" t="s">
        <v>119</v>
      </c>
    </row>
    <row r="90" spans="1:6" x14ac:dyDescent="0.3">
      <c r="A90">
        <v>0</v>
      </c>
      <c r="B90">
        <f>'Output file'!B10</f>
        <v>-9</v>
      </c>
      <c r="C90" t="s">
        <v>49</v>
      </c>
      <c r="E90">
        <f>A90</f>
        <v>0</v>
      </c>
      <c r="F90">
        <f>B90</f>
        <v>-9</v>
      </c>
    </row>
    <row r="91" spans="1:6" x14ac:dyDescent="0.3">
      <c r="A91">
        <v>2.25</v>
      </c>
      <c r="B91">
        <f>B90+1.5</f>
        <v>-7.5</v>
      </c>
      <c r="E91">
        <f t="shared" ref="E91:E94" si="0">A91</f>
        <v>2.25</v>
      </c>
      <c r="F91">
        <f t="shared" ref="F91:F99" si="1">B91</f>
        <v>-7.5</v>
      </c>
    </row>
    <row r="92" spans="1:6" x14ac:dyDescent="0.3">
      <c r="A92">
        <f>IF(B92=B93,'Output file'!B2,'Output file'!B2+A91)</f>
        <v>3</v>
      </c>
      <c r="B92">
        <f>B91</f>
        <v>-7.5</v>
      </c>
      <c r="E92">
        <f t="shared" si="0"/>
        <v>3</v>
      </c>
      <c r="F92">
        <f t="shared" si="1"/>
        <v>-7.5</v>
      </c>
    </row>
    <row r="93" spans="1:6" x14ac:dyDescent="0.3">
      <c r="A93">
        <f>IF('Output file'!J27=0,A92,IF('Output file'!J27&lt;('Output file'!B10+1.5),A92,A92+1.5*('Output file'!J27-B92)))</f>
        <v>3</v>
      </c>
      <c r="B93">
        <f>IF('Output file'!J27=0,B92,IF('Output file'!J27&lt;('Output file'!B10+1.5+2*(IF('Output file'!B21="",'Output file'!F11,'Output file'!F12))),B92,'Output file'!J27))</f>
        <v>-7.5</v>
      </c>
      <c r="E93">
        <f t="shared" si="0"/>
        <v>3</v>
      </c>
      <c r="F93">
        <f t="shared" si="1"/>
        <v>-7.5</v>
      </c>
    </row>
    <row r="94" spans="1:6" x14ac:dyDescent="0.3">
      <c r="A94">
        <f>A93+'Output file'!B2</f>
        <v>6</v>
      </c>
      <c r="B94">
        <f>B93</f>
        <v>-7.5</v>
      </c>
      <c r="E94">
        <f t="shared" si="0"/>
        <v>6</v>
      </c>
      <c r="F94">
        <f t="shared" si="1"/>
        <v>-7.5</v>
      </c>
    </row>
    <row r="95" spans="1:6" x14ac:dyDescent="0.3">
      <c r="A95" s="3">
        <f>A94+('Output file'!F23-B94)*1.5</f>
        <v>23.25</v>
      </c>
      <c r="B95" s="3">
        <f>'Output file'!F23</f>
        <v>4</v>
      </c>
      <c r="E95" s="3">
        <f>E94+('Output file'!F23-B94)*1.2</f>
        <v>19.799999999999997</v>
      </c>
      <c r="F95">
        <f t="shared" si="1"/>
        <v>4</v>
      </c>
    </row>
    <row r="96" spans="1:6" x14ac:dyDescent="0.3">
      <c r="A96" s="3">
        <f>A95+'Output file'!F22</f>
        <v>31.25</v>
      </c>
      <c r="B96" s="3">
        <f>B95</f>
        <v>4</v>
      </c>
      <c r="E96" s="3">
        <f>E95+'Output file'!F22</f>
        <v>27.799999999999997</v>
      </c>
      <c r="F96">
        <f t="shared" si="1"/>
        <v>4</v>
      </c>
    </row>
    <row r="97" spans="1:10" x14ac:dyDescent="0.3">
      <c r="A97">
        <f>A96+('Output file'!J13-'Output file'!F23)*1.5</f>
        <v>32.450000000000003</v>
      </c>
      <c r="B97" s="3">
        <f>'Output file'!J13</f>
        <v>4.8</v>
      </c>
      <c r="E97">
        <f>E96+('Output file'!J13-'Output file'!F23)*1.5</f>
        <v>28.999999999999996</v>
      </c>
      <c r="F97">
        <f t="shared" si="1"/>
        <v>4.8</v>
      </c>
    </row>
    <row r="98" spans="1:10" x14ac:dyDescent="0.3">
      <c r="A98">
        <f>A97+4*'Output file'!F5</f>
        <v>36.398046067497148</v>
      </c>
      <c r="B98" s="3">
        <f>B97</f>
        <v>4.8</v>
      </c>
      <c r="E98">
        <f>E97+4*'Output file'!F5</f>
        <v>32.948046067497138</v>
      </c>
      <c r="F98">
        <f t="shared" si="1"/>
        <v>4.8</v>
      </c>
    </row>
    <row r="99" spans="1:10" x14ac:dyDescent="0.3">
      <c r="A99" s="3">
        <f>A98+(A97-A96)</f>
        <v>37.598046067497151</v>
      </c>
      <c r="B99" s="3">
        <f>B96</f>
        <v>4</v>
      </c>
      <c r="E99" s="3">
        <f>E98+(E97-E96)</f>
        <v>34.148046067497134</v>
      </c>
      <c r="F99">
        <f t="shared" si="1"/>
        <v>4</v>
      </c>
    </row>
    <row r="100" spans="1:10" x14ac:dyDescent="0.3">
      <c r="H100">
        <f>F132</f>
        <v>12.84</v>
      </c>
      <c r="I100">
        <f>I101</f>
        <v>-1.7999999999999998</v>
      </c>
    </row>
    <row r="101" spans="1:10" x14ac:dyDescent="0.3">
      <c r="A101" s="3">
        <f>A136</f>
        <v>31.25</v>
      </c>
      <c r="B101">
        <f>'Output file'!F23-2*'Output file'!F11*3.25^0.5/1.5</f>
        <v>2.5256303423709436</v>
      </c>
      <c r="C101" t="s">
        <v>58</v>
      </c>
      <c r="H101" s="3">
        <f>H100-0.3*(F95-I100)+2*'Output file'!F5*3.25^0.5+'Output file'!F22</f>
        <v>22.658720633563725</v>
      </c>
      <c r="I101">
        <f>G133</f>
        <v>-1.7999999999999998</v>
      </c>
      <c r="J101" t="s">
        <v>107</v>
      </c>
    </row>
    <row r="102" spans="1:10" x14ac:dyDescent="0.3">
      <c r="A102" s="3">
        <f>A101+(B102-B101)*1.5</f>
        <v>32.821429925054019</v>
      </c>
      <c r="B102">
        <f>'Output file'!J13-2*'Output file'!F11</f>
        <v>3.5732502924069571</v>
      </c>
      <c r="C102" t="s">
        <v>72</v>
      </c>
      <c r="H102">
        <f>H101+(I102-I101)*1.5</f>
        <v>29.597686082940868</v>
      </c>
      <c r="I102">
        <f>'Output file'!J13-2*'Output file'!F5</f>
        <v>2.8259769662514289</v>
      </c>
      <c r="J102" t="s">
        <v>108</v>
      </c>
    </row>
    <row r="103" spans="1:10" x14ac:dyDescent="0.3">
      <c r="A103">
        <f>A98-2*'Output file'!F11/3.25^0.5/1.5</f>
        <v>35.944393865149749</v>
      </c>
      <c r="B103">
        <f>B102</f>
        <v>3.5732502924069571</v>
      </c>
      <c r="H103">
        <f>E98-2*'Output file'!F5/3.25^0.5/1.5</f>
        <v>32.218052091381502</v>
      </c>
      <c r="I103">
        <f>I102</f>
        <v>2.8259769662514289</v>
      </c>
    </row>
    <row r="104" spans="1:10" x14ac:dyDescent="0.3">
      <c r="A104">
        <f>A103+(B103-B104)*1.5</f>
        <v>35.304269303760186</v>
      </c>
      <c r="B104" s="3">
        <f>B99</f>
        <v>4</v>
      </c>
      <c r="H104">
        <f>H103+(I103-I104)*1.5</f>
        <v>30.457017540758645</v>
      </c>
      <c r="I104" s="3">
        <f>B99</f>
        <v>4</v>
      </c>
    </row>
    <row r="106" spans="1:10" x14ac:dyDescent="0.3">
      <c r="A106">
        <f>IF('Output file'!J27=0,A133-(B133-B91)/2*1.5,IF('Output file'!J27&gt;B106,A92+(B106-B92)*1.5,A133-(B133-B91)/2*1.5))</f>
        <v>10.275</v>
      </c>
      <c r="B106">
        <f>IF('Output file'!J27=0,(B91-B133)/2+B133,IF('Output file'!J27&gt;(B91-B133)/2+B133,'Output file'!J27-2*'Output file'!F12,(B91-B133)/2+B133))</f>
        <v>-4.6500000000000004</v>
      </c>
      <c r="C106" t="s">
        <v>59</v>
      </c>
      <c r="H106">
        <f>IF('Output file'!J27&gt;I106,A92+(I106-B92)*1.5,F133-(G133-B91)/2*1.5)</f>
        <v>7.2749999999999995</v>
      </c>
      <c r="I106">
        <f>(B91-G133)/2+G133</f>
        <v>-4.6500000000000004</v>
      </c>
    </row>
    <row r="107" spans="1:10" x14ac:dyDescent="0.3">
      <c r="A107">
        <f>A102-(B102-B106)*1.5</f>
        <v>20.486554486443584</v>
      </c>
      <c r="B107">
        <f>B106</f>
        <v>-4.6500000000000004</v>
      </c>
      <c r="C107" t="s">
        <v>62</v>
      </c>
      <c r="H107">
        <f>H102-(B102-I106)*1.5</f>
        <v>17.262810644330433</v>
      </c>
      <c r="I107">
        <f>I106</f>
        <v>-4.6500000000000004</v>
      </c>
    </row>
    <row r="108" spans="1:10" x14ac:dyDescent="0.3">
      <c r="A108" s="3">
        <f>A102</f>
        <v>32.821429925054019</v>
      </c>
      <c r="B108">
        <f>B102</f>
        <v>3.5732502924069571</v>
      </c>
      <c r="C108" t="s">
        <v>63</v>
      </c>
      <c r="H108" s="3">
        <f>H102</f>
        <v>29.597686082940868</v>
      </c>
      <c r="I108">
        <f>I102</f>
        <v>2.8259769662514289</v>
      </c>
    </row>
    <row r="109" spans="1:10" x14ac:dyDescent="0.3">
      <c r="F109" t="s">
        <v>121</v>
      </c>
    </row>
    <row r="110" spans="1:10" x14ac:dyDescent="0.3">
      <c r="A110" s="3">
        <f>A95+'Output file'!F9</f>
        <v>24.744068514397696</v>
      </c>
      <c r="B110" s="3">
        <f>B95</f>
        <v>4</v>
      </c>
      <c r="C110" t="s">
        <v>53</v>
      </c>
      <c r="F110" s="3">
        <f>E95+'Output file'!F9</f>
        <v>21.294068514397694</v>
      </c>
    </row>
    <row r="111" spans="1:10" x14ac:dyDescent="0.3">
      <c r="A111" s="3">
        <f>A95+'Output file'!F10</f>
        <v>25.473516792619947</v>
      </c>
      <c r="B111" s="3">
        <f>B110</f>
        <v>4</v>
      </c>
      <c r="C111" t="s">
        <v>24</v>
      </c>
      <c r="F111" s="3">
        <f>E95+'Output file'!F10</f>
        <v>22.023516792619944</v>
      </c>
    </row>
    <row r="113" spans="1:7" x14ac:dyDescent="0.3">
      <c r="A113">
        <v>0</v>
      </c>
      <c r="B113">
        <f>B90</f>
        <v>-9</v>
      </c>
      <c r="C113" t="s">
        <v>52</v>
      </c>
    </row>
    <row r="114" spans="1:7" x14ac:dyDescent="0.3">
      <c r="A114" s="3">
        <f>A99</f>
        <v>37.598046067497151</v>
      </c>
      <c r="B114">
        <f>B113</f>
        <v>-9</v>
      </c>
    </row>
    <row r="116" spans="1:7" x14ac:dyDescent="0.3">
      <c r="A116">
        <f>A92</f>
        <v>3</v>
      </c>
      <c r="B116">
        <f>'Output file'!B5</f>
        <v>1</v>
      </c>
      <c r="C116" t="s">
        <v>54</v>
      </c>
    </row>
    <row r="117" spans="1:7" x14ac:dyDescent="0.3">
      <c r="A117">
        <f>A94+(A95-A94)/2</f>
        <v>14.625</v>
      </c>
      <c r="B117">
        <f>B116</f>
        <v>1</v>
      </c>
    </row>
    <row r="119" spans="1:7" x14ac:dyDescent="0.3">
      <c r="A119">
        <f>A116</f>
        <v>3</v>
      </c>
      <c r="B119">
        <v>0</v>
      </c>
      <c r="C119" t="s">
        <v>55</v>
      </c>
    </row>
    <row r="120" spans="1:7" x14ac:dyDescent="0.3">
      <c r="A120">
        <f>A117</f>
        <v>14.625</v>
      </c>
      <c r="B120">
        <v>0</v>
      </c>
    </row>
    <row r="121" spans="1:7" x14ac:dyDescent="0.3">
      <c r="F121" t="s">
        <v>120</v>
      </c>
    </row>
    <row r="122" spans="1:7" x14ac:dyDescent="0.3">
      <c r="A122">
        <f>A94+(B116-B94)*1.5</f>
        <v>18.75</v>
      </c>
      <c r="B122">
        <f>B123</f>
        <v>1</v>
      </c>
      <c r="F122">
        <f>A94+(B116-B94)*1.2</f>
        <v>16.2</v>
      </c>
      <c r="G122">
        <f>B122</f>
        <v>1</v>
      </c>
    </row>
    <row r="123" spans="1:7" x14ac:dyDescent="0.3">
      <c r="A123" s="4">
        <f>A122+'Output file'!F26</f>
        <v>30.75</v>
      </c>
      <c r="B123">
        <f>B117</f>
        <v>1</v>
      </c>
      <c r="C123" t="s">
        <v>56</v>
      </c>
      <c r="F123" s="4">
        <f>F122+'Output file'!F26</f>
        <v>28.2</v>
      </c>
      <c r="G123">
        <f>B123</f>
        <v>1</v>
      </c>
    </row>
    <row r="124" spans="1:7" x14ac:dyDescent="0.3">
      <c r="F124" t="s">
        <v>122</v>
      </c>
    </row>
    <row r="125" spans="1:7" x14ac:dyDescent="0.3">
      <c r="A125">
        <f>A104</f>
        <v>35.304269303760186</v>
      </c>
      <c r="B125" s="3">
        <f>B126</f>
        <v>4</v>
      </c>
      <c r="C125" t="s">
        <v>51</v>
      </c>
      <c r="F125">
        <f>A125</f>
        <v>35.304269303760186</v>
      </c>
      <c r="G125">
        <f>B125</f>
        <v>4</v>
      </c>
    </row>
    <row r="126" spans="1:7" x14ac:dyDescent="0.3">
      <c r="A126">
        <f>A123+(B95-B116)*1.5</f>
        <v>35.25</v>
      </c>
      <c r="B126" s="3">
        <f>B95</f>
        <v>4</v>
      </c>
      <c r="F126">
        <f>F123+(F95-B116)*1.5</f>
        <v>32.700000000000003</v>
      </c>
      <c r="G126">
        <f t="shared" ref="G126:G128" si="2">B126</f>
        <v>4</v>
      </c>
    </row>
    <row r="127" spans="1:7" x14ac:dyDescent="0.3">
      <c r="A127" s="4">
        <f>A123</f>
        <v>30.75</v>
      </c>
      <c r="B127" s="3">
        <f>B123</f>
        <v>1</v>
      </c>
      <c r="F127" s="4">
        <f>F123</f>
        <v>28.2</v>
      </c>
      <c r="G127">
        <f t="shared" si="2"/>
        <v>1</v>
      </c>
    </row>
    <row r="128" spans="1:7" x14ac:dyDescent="0.3">
      <c r="A128" s="5">
        <f>A123-(B123-B128)*'Output file'!J28</f>
        <v>18</v>
      </c>
      <c r="B128">
        <f>B91</f>
        <v>-7.5</v>
      </c>
      <c r="F128" s="5">
        <f>F123-(B123-G128)*'Output file'!J28</f>
        <v>15.45</v>
      </c>
      <c r="G128">
        <f t="shared" si="2"/>
        <v>-7.5</v>
      </c>
    </row>
    <row r="130" spans="1:7" x14ac:dyDescent="0.3">
      <c r="A130">
        <f>A128</f>
        <v>18</v>
      </c>
      <c r="B130">
        <f>B128</f>
        <v>-7.5</v>
      </c>
      <c r="C130" t="s">
        <v>57</v>
      </c>
      <c r="F130">
        <f>F128</f>
        <v>15.45</v>
      </c>
      <c r="G130">
        <f>B130</f>
        <v>-7.5</v>
      </c>
    </row>
    <row r="131" spans="1:7" x14ac:dyDescent="0.3">
      <c r="A131">
        <f>A91</f>
        <v>2.25</v>
      </c>
      <c r="B131">
        <f>B130</f>
        <v>-7.5</v>
      </c>
      <c r="F131">
        <f>A131</f>
        <v>2.25</v>
      </c>
      <c r="G131">
        <f>B131</f>
        <v>-7.5</v>
      </c>
    </row>
    <row r="132" spans="1:7" x14ac:dyDescent="0.3">
      <c r="F132">
        <f>A94+('Output file'!J5-B94)*1.2</f>
        <v>12.84</v>
      </c>
    </row>
    <row r="133" spans="1:7" x14ac:dyDescent="0.3">
      <c r="A133">
        <f>A94+('Output file'!J4-B94)*1.5</f>
        <v>14.55</v>
      </c>
      <c r="B133">
        <f>'Output file'!J4</f>
        <v>-1.8</v>
      </c>
      <c r="C133" t="s">
        <v>50</v>
      </c>
      <c r="F133">
        <f>A94+('Output file'!J5-B94)*1.5</f>
        <v>14.55</v>
      </c>
      <c r="G133">
        <f>'Output file'!J5</f>
        <v>-1.7999999999999998</v>
      </c>
    </row>
    <row r="134" spans="1:7" x14ac:dyDescent="0.3">
      <c r="A134">
        <f>A133+3.25^0.5*2*'Output file'!F5</f>
        <v>18.108720633563728</v>
      </c>
      <c r="B134">
        <f>B133</f>
        <v>-1.8</v>
      </c>
      <c r="F134">
        <f>A133+3.25^0.5*2*'Output file'!F5</f>
        <v>18.108720633563728</v>
      </c>
      <c r="G134">
        <f>G133</f>
        <v>-1.7999999999999998</v>
      </c>
    </row>
    <row r="135" spans="1:7" x14ac:dyDescent="0.3">
      <c r="A135">
        <f>A134+(B135-B134)*1.5</f>
        <v>23.847686082940871</v>
      </c>
      <c r="B135">
        <f>B95-2*'Output file'!F5</f>
        <v>2.0259769662514291</v>
      </c>
      <c r="F135">
        <f>A134+(B135-B134)*1.5</f>
        <v>23.847686082940871</v>
      </c>
      <c r="G135">
        <f>B95-2*'Output file'!F5</f>
        <v>2.0259769662514291</v>
      </c>
    </row>
    <row r="136" spans="1:7" x14ac:dyDescent="0.3">
      <c r="A136" s="3">
        <f>A96</f>
        <v>31.25</v>
      </c>
      <c r="B136">
        <f>B135</f>
        <v>2.0259769662514291</v>
      </c>
      <c r="F136" s="3">
        <f>A96</f>
        <v>31.25</v>
      </c>
      <c r="G136">
        <f>G135</f>
        <v>2.0259769662514291</v>
      </c>
    </row>
    <row r="137" spans="1:7" x14ac:dyDescent="0.3">
      <c r="A137" s="3">
        <f>A136</f>
        <v>31.25</v>
      </c>
      <c r="B137" s="3">
        <f>B95</f>
        <v>4</v>
      </c>
      <c r="F137" s="3">
        <f>F136</f>
        <v>31.25</v>
      </c>
      <c r="G137" s="3">
        <f>B95</f>
        <v>4</v>
      </c>
    </row>
  </sheetData>
  <pageMargins left="0.7" right="0.7" top="0.7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6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  <col min="14" max="14" width="4.88671875" customWidth="1"/>
    <col min="15" max="15" width="1.6640625" customWidth="1"/>
    <col min="16" max="16" width="4" customWidth="1"/>
    <col min="17" max="17" width="3.33203125" customWidth="1"/>
    <col min="18" max="18" width="7.44140625" customWidth="1"/>
    <col min="19" max="19" width="6.109375" customWidth="1"/>
    <col min="20" max="20" width="6" customWidth="1"/>
  </cols>
  <sheetData>
    <row r="1" spans="1:23" x14ac:dyDescent="0.3">
      <c r="A1" s="1" t="s">
        <v>1</v>
      </c>
      <c r="B1" s="1"/>
      <c r="E1" s="1" t="s">
        <v>20</v>
      </c>
      <c r="I1" s="1" t="s">
        <v>75</v>
      </c>
    </row>
    <row r="2" spans="1:23" ht="15.6" x14ac:dyDescent="0.35">
      <c r="A2" t="s">
        <v>2</v>
      </c>
      <c r="B2" s="58">
        <v>5</v>
      </c>
      <c r="C2" t="s">
        <v>3</v>
      </c>
      <c r="E2" t="s">
        <v>4</v>
      </c>
      <c r="F2" s="16">
        <f>2*PI()*B2/9.81/B3^2</f>
        <v>3.0186058954519819E-2</v>
      </c>
      <c r="G2" s="2" t="s">
        <v>5</v>
      </c>
      <c r="I2" t="s">
        <v>40</v>
      </c>
      <c r="J2" s="4">
        <f>B6-0.4*B2</f>
        <v>-1</v>
      </c>
      <c r="K2" t="s">
        <v>10</v>
      </c>
      <c r="M2" s="32" t="s">
        <v>123</v>
      </c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15.6" x14ac:dyDescent="0.35">
      <c r="A3" t="s">
        <v>6</v>
      </c>
      <c r="B3" s="58">
        <v>10.3</v>
      </c>
      <c r="C3" t="s">
        <v>7</v>
      </c>
      <c r="E3" t="s">
        <v>22</v>
      </c>
      <c r="F3" s="3">
        <f>(B14-B13)/B13</f>
        <v>1.6341463414634145</v>
      </c>
      <c r="G3" s="2" t="s">
        <v>5</v>
      </c>
      <c r="I3" t="s">
        <v>42</v>
      </c>
      <c r="J3">
        <f>B7-0.4*B8</f>
        <v>-1.8</v>
      </c>
      <c r="K3" t="s">
        <v>10</v>
      </c>
    </row>
    <row r="4" spans="1:23" ht="15.6" x14ac:dyDescent="0.35">
      <c r="A4" t="s">
        <v>8</v>
      </c>
      <c r="B4" s="58">
        <v>6</v>
      </c>
      <c r="C4" t="s">
        <v>3</v>
      </c>
      <c r="E4" t="s">
        <v>90</v>
      </c>
      <c r="F4" s="4">
        <f>B17+(B18-B17)/2</f>
        <v>15</v>
      </c>
      <c r="G4" t="s">
        <v>19</v>
      </c>
      <c r="I4" s="58" t="s">
        <v>103</v>
      </c>
      <c r="J4" s="58">
        <v>-1.8</v>
      </c>
      <c r="K4" t="s">
        <v>10</v>
      </c>
    </row>
    <row r="5" spans="1:23" ht="15.6" x14ac:dyDescent="0.35">
      <c r="A5" t="s">
        <v>9</v>
      </c>
      <c r="B5" s="58">
        <v>2</v>
      </c>
      <c r="C5" t="s">
        <v>10</v>
      </c>
      <c r="E5" t="s">
        <v>91</v>
      </c>
      <c r="F5" s="3">
        <f>(F4*1000/B14)^(1/3)</f>
        <v>1.7710976153043518</v>
      </c>
      <c r="G5" t="s">
        <v>3</v>
      </c>
      <c r="I5" s="5" t="s">
        <v>94</v>
      </c>
      <c r="J5" s="5">
        <f>B7-0.6*B8</f>
        <v>-2.6999999999999997</v>
      </c>
      <c r="K5" t="s">
        <v>10</v>
      </c>
    </row>
    <row r="6" spans="1:23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1.7275736052592017</v>
      </c>
      <c r="G6" s="2" t="s">
        <v>5</v>
      </c>
    </row>
    <row r="7" spans="1:23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Hardly reshaping</v>
      </c>
      <c r="I7" s="1" t="s">
        <v>68</v>
      </c>
    </row>
    <row r="8" spans="1:23" ht="15.6" x14ac:dyDescent="0.35">
      <c r="A8" t="s">
        <v>12</v>
      </c>
      <c r="B8" s="58">
        <v>4.5</v>
      </c>
      <c r="C8" t="s">
        <v>3</v>
      </c>
      <c r="E8" t="s">
        <v>92</v>
      </c>
      <c r="F8" s="21">
        <f>IF(B21="",2,3)</f>
        <v>3</v>
      </c>
      <c r="I8" t="s">
        <v>36</v>
      </c>
      <c r="J8" s="4">
        <f>1.2*B2+B5</f>
        <v>8</v>
      </c>
      <c r="K8" t="s">
        <v>10</v>
      </c>
    </row>
    <row r="9" spans="1:23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1.2795428064624166</v>
      </c>
      <c r="G9" t="s">
        <v>3</v>
      </c>
      <c r="I9" t="s">
        <v>37</v>
      </c>
      <c r="J9" s="4">
        <f>1.4*B2+B5</f>
        <v>9</v>
      </c>
      <c r="K9" t="s">
        <v>10</v>
      </c>
    </row>
    <row r="10" spans="1:23" ht="15.6" x14ac:dyDescent="0.35">
      <c r="A10" t="s">
        <v>71</v>
      </c>
      <c r="B10" s="58">
        <v>-10</v>
      </c>
      <c r="C10" t="s">
        <v>10</v>
      </c>
      <c r="E10" t="s">
        <v>74</v>
      </c>
      <c r="F10" s="3">
        <f>(1.6*F5*(F6*B4/B2-1)^2.5-F9)/2+F9</f>
        <v>2.3299054920170121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0.4591627347046609</v>
      </c>
    </row>
    <row r="11" spans="1:23" ht="15.6" x14ac:dyDescent="0.35">
      <c r="A11" t="s">
        <v>14</v>
      </c>
      <c r="B11" s="59">
        <v>1</v>
      </c>
      <c r="C11" t="s">
        <v>106</v>
      </c>
      <c r="E11" t="s">
        <v>118</v>
      </c>
      <c r="F11" s="20">
        <f>((B19+(B20-B19)/2)*1000/B14)^(1/3)</f>
        <v>1.3737617666028523</v>
      </c>
      <c r="G11" t="s">
        <v>3</v>
      </c>
      <c r="I11" t="s">
        <v>84</v>
      </c>
      <c r="J11" s="19">
        <f>(-1*LN(B11/1000/0.1035/(9.81*B2^3)^0.5))^(1/1.3)*B2*J10/(1.35)+B5</f>
        <v>10.577295065231391</v>
      </c>
      <c r="K11" t="s">
        <v>10</v>
      </c>
    </row>
    <row r="12" spans="1:23" ht="15.6" x14ac:dyDescent="0.35">
      <c r="A12" t="s">
        <v>15</v>
      </c>
      <c r="B12" s="59">
        <v>10</v>
      </c>
      <c r="C12" t="s">
        <v>106</v>
      </c>
      <c r="E12" t="s">
        <v>93</v>
      </c>
      <c r="F12" s="11">
        <f>IF(F8=2,"No Class III",((B21+(B22-B21)/2)*1000/B14)^(1/3))</f>
        <v>0.97467257940428864</v>
      </c>
      <c r="G12" t="str">
        <f>IF(F8=2,"","m")</f>
        <v>m</v>
      </c>
      <c r="I12" t="s">
        <v>85</v>
      </c>
      <c r="J12" s="19">
        <f>(-1*LN(B12/1000/0.1035/(9.81*B4^3)^0.5))^(1/1.3)*B4*J10/(1.35)+B5</f>
        <v>10.269834915544623</v>
      </c>
      <c r="K12" t="s">
        <v>10</v>
      </c>
    </row>
    <row r="13" spans="1:23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10</v>
      </c>
      <c r="K13" t="s">
        <v>10</v>
      </c>
      <c r="R13" s="5"/>
    </row>
    <row r="14" spans="1:23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23" ht="21" x14ac:dyDescent="0.4">
      <c r="B15" s="58"/>
      <c r="C15" s="2"/>
      <c r="E15" s="5" t="s">
        <v>0</v>
      </c>
      <c r="F15" s="58">
        <v>15</v>
      </c>
      <c r="G15" t="s">
        <v>25</v>
      </c>
      <c r="I15" s="1" t="s">
        <v>95</v>
      </c>
      <c r="J15" s="17"/>
      <c r="M15" s="23" t="s">
        <v>110</v>
      </c>
      <c r="N15" s="23"/>
      <c r="O15" s="23"/>
      <c r="P15" s="23"/>
      <c r="Q15" s="23"/>
      <c r="R15" s="23"/>
    </row>
    <row r="16" spans="1:23" ht="21" x14ac:dyDescent="0.4">
      <c r="A16" s="1" t="s">
        <v>88</v>
      </c>
      <c r="B16" s="58"/>
      <c r="C16" s="2"/>
      <c r="E16" t="s">
        <v>60</v>
      </c>
      <c r="F16" s="3">
        <f>F9/(F15/100)</f>
        <v>8.5302853764161117</v>
      </c>
      <c r="G16" t="s">
        <v>3</v>
      </c>
      <c r="I16" t="s">
        <v>97</v>
      </c>
      <c r="J16" s="11">
        <f>IF(F8=3,B10+1.5+2*F12,B10+1.5+2*F11)</f>
        <v>-6.5506548411914229</v>
      </c>
      <c r="K16" t="s">
        <v>10</v>
      </c>
      <c r="M16" s="25" t="str">
        <f>IF('Output file'!B21="","MA: two classes", "IC: three classes")</f>
        <v>MA: two classes</v>
      </c>
      <c r="N16" s="24"/>
      <c r="O16" s="24"/>
      <c r="P16" s="24"/>
      <c r="Q16" s="24"/>
      <c r="R16" s="24"/>
    </row>
    <row r="17" spans="1:21" ht="15.6" x14ac:dyDescent="0.35">
      <c r="A17" t="s">
        <v>114</v>
      </c>
      <c r="B17" s="58">
        <v>10</v>
      </c>
      <c r="C17" t="s">
        <v>19</v>
      </c>
      <c r="E17" t="s">
        <v>61</v>
      </c>
      <c r="F17" s="3">
        <f>MAX(F9+F5,3*F5)</f>
        <v>5.3132928459130557</v>
      </c>
      <c r="G17" t="s">
        <v>3</v>
      </c>
      <c r="I17" s="10" t="s">
        <v>35</v>
      </c>
    </row>
    <row r="18" spans="1:21" ht="15.6" x14ac:dyDescent="0.35">
      <c r="A18" t="s">
        <v>116</v>
      </c>
      <c r="B18" s="58">
        <v>20</v>
      </c>
      <c r="C18" t="s">
        <v>19</v>
      </c>
      <c r="E18" t="s">
        <v>28</v>
      </c>
      <c r="F18">
        <f>B5+0.6*B2</f>
        <v>5</v>
      </c>
      <c r="G18" t="s">
        <v>10</v>
      </c>
      <c r="I18" t="s">
        <v>44</v>
      </c>
      <c r="J18" s="58">
        <v>2</v>
      </c>
      <c r="K18" s="2" t="s">
        <v>5</v>
      </c>
    </row>
    <row r="19" spans="1:21" ht="15.6" x14ac:dyDescent="0.35">
      <c r="A19" t="s">
        <v>115</v>
      </c>
      <c r="B19" s="58">
        <v>4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-4.2214464143860431</v>
      </c>
      <c r="K19" t="s">
        <v>10</v>
      </c>
    </row>
    <row r="20" spans="1:21" ht="15.6" x14ac:dyDescent="0.35">
      <c r="A20" t="s">
        <v>117</v>
      </c>
      <c r="B20" s="58">
        <v>10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5.3571286652768517</v>
      </c>
      <c r="K20" s="63" t="str">
        <f>IF(AND(3&lt;(B6-J19)/(IF(F8=3,F12,F11)),(B6-J19)/(IF(F8=3,F12,F11))&lt;25),"ok","out of range")</f>
        <v>ok</v>
      </c>
    </row>
    <row r="21" spans="1:21" ht="15.6" x14ac:dyDescent="0.35">
      <c r="A21" t="s">
        <v>82</v>
      </c>
      <c r="B21" s="58">
        <v>1</v>
      </c>
      <c r="C21" t="s">
        <v>19</v>
      </c>
      <c r="E21" t="s">
        <v>32</v>
      </c>
      <c r="F21" s="3">
        <f>F20+2*F5</f>
        <v>5.5421952306087032</v>
      </c>
      <c r="G21" t="s">
        <v>10</v>
      </c>
      <c r="I21" t="s">
        <v>47</v>
      </c>
      <c r="J21" s="11">
        <f>(B6-J19)/(B6-B10)</f>
        <v>0.47467694676236755</v>
      </c>
      <c r="K21" s="63" t="str">
        <f>IF(AND(0.4&lt;(B6-J19)/(B6-B10),(B6-J19)/(B6-B10)&lt;0.9),"ok","out of range")</f>
        <v>ok</v>
      </c>
    </row>
    <row r="22" spans="1:21" ht="15.6" x14ac:dyDescent="0.35">
      <c r="A22" t="s">
        <v>83</v>
      </c>
      <c r="B22" s="58">
        <v>4</v>
      </c>
      <c r="C22" t="s">
        <v>19</v>
      </c>
      <c r="E22" s="58" t="s">
        <v>100</v>
      </c>
      <c r="F22" s="60">
        <v>8.5</v>
      </c>
      <c r="G22" t="s">
        <v>3</v>
      </c>
      <c r="I22" s="10" t="s">
        <v>39</v>
      </c>
      <c r="J22" s="11"/>
    </row>
    <row r="23" spans="1:21" ht="15.6" x14ac:dyDescent="0.35">
      <c r="E23" s="58" t="s">
        <v>101</v>
      </c>
      <c r="F23" s="60">
        <v>5.5</v>
      </c>
      <c r="G23" t="s">
        <v>10</v>
      </c>
      <c r="I23" t="s">
        <v>45</v>
      </c>
      <c r="J23" s="58">
        <v>4</v>
      </c>
      <c r="K23" s="2" t="s">
        <v>5</v>
      </c>
    </row>
    <row r="24" spans="1:21" ht="15.6" x14ac:dyDescent="0.35">
      <c r="I24" t="s">
        <v>99</v>
      </c>
      <c r="J24" s="11">
        <f>B6-((((B4/F3/(IF(F8=3,F12,F11)))*J23^-0.15)-2)/6.2)^(1/2.7)*(B6-B10)</f>
        <v>-4.7181554315329866</v>
      </c>
      <c r="K24" t="s">
        <v>10</v>
      </c>
    </row>
    <row r="25" spans="1:21" ht="15.6" x14ac:dyDescent="0.35">
      <c r="E25" s="6" t="s">
        <v>26</v>
      </c>
      <c r="F25" s="4">
        <f>2*F6*B2</f>
        <v>17.275736052592016</v>
      </c>
      <c r="G25" t="s">
        <v>3</v>
      </c>
      <c r="I25" t="s">
        <v>46</v>
      </c>
      <c r="J25" s="12">
        <f>(B6-J24)/(IF(F8=3,F12,F11))</f>
        <v>5.8667449483680691</v>
      </c>
      <c r="K25" s="63" t="str">
        <f>IF(AND(3&lt;(B6-J24)/(IF(F8=3,F12,F11)),(B6-J24)/(IF(F8=3,F12,F11))&lt;25),"ok","out of range")</f>
        <v>ok</v>
      </c>
    </row>
    <row r="26" spans="1:21" ht="15.6" x14ac:dyDescent="0.35">
      <c r="E26" s="58" t="s">
        <v>102</v>
      </c>
      <c r="F26" s="61">
        <v>17</v>
      </c>
      <c r="G26" t="s">
        <v>48</v>
      </c>
      <c r="I26" t="s">
        <v>47</v>
      </c>
      <c r="J26" s="11">
        <f>(B6-J24)/(B6-B10)</f>
        <v>0.5198323119575442</v>
      </c>
      <c r="K26" s="63" t="str">
        <f>IF(AND(0.4&lt;(B6-J24)/(B6-B10),(B6-J19)/(B6-B10)&lt;0.9),"ok","out of range")</f>
        <v>ok</v>
      </c>
    </row>
    <row r="27" spans="1:21" x14ac:dyDescent="0.3">
      <c r="I27" s="58" t="s">
        <v>109</v>
      </c>
      <c r="J27" s="58">
        <v>0</v>
      </c>
      <c r="K27" t="s">
        <v>10</v>
      </c>
    </row>
    <row r="28" spans="1:21" ht="15.6" x14ac:dyDescent="0.35">
      <c r="I28" s="58" t="s">
        <v>105</v>
      </c>
      <c r="J28" s="58">
        <v>1.5</v>
      </c>
      <c r="K28" s="2" t="s">
        <v>5</v>
      </c>
    </row>
    <row r="29" spans="1:21" x14ac:dyDescent="0.3">
      <c r="L29" s="13"/>
      <c r="M29" s="26"/>
      <c r="N29" s="26"/>
      <c r="O29" s="26"/>
      <c r="P29" s="26"/>
      <c r="Q29" s="26"/>
      <c r="R29" s="26"/>
      <c r="S29" s="13"/>
      <c r="T29" s="13"/>
      <c r="U29" s="13"/>
    </row>
    <row r="30" spans="1:21" x14ac:dyDescent="0.3">
      <c r="L30" s="13"/>
      <c r="M30" s="13"/>
      <c r="N30" s="13"/>
      <c r="O30" s="13"/>
      <c r="P30" s="13"/>
      <c r="Q30" s="13"/>
      <c r="R30" s="13"/>
      <c r="S30" s="27"/>
      <c r="T30" s="13"/>
      <c r="U30" s="13"/>
    </row>
    <row r="31" spans="1:21" x14ac:dyDescent="0.3">
      <c r="L31" s="13"/>
      <c r="M31" s="13"/>
      <c r="N31" s="13"/>
      <c r="O31" s="13"/>
      <c r="P31" s="13"/>
      <c r="Q31" s="13"/>
      <c r="R31" s="13"/>
      <c r="S31" s="27"/>
      <c r="T31" s="13"/>
      <c r="U31" s="13"/>
    </row>
    <row r="32" spans="1:21" x14ac:dyDescent="0.3">
      <c r="L32" s="13"/>
      <c r="M32" s="13"/>
      <c r="N32" s="13"/>
      <c r="O32" s="13"/>
      <c r="P32" s="13"/>
      <c r="Q32" s="13"/>
      <c r="R32" s="13"/>
      <c r="S32" s="28"/>
      <c r="T32" s="13"/>
      <c r="U32" s="13"/>
    </row>
    <row r="33" spans="4:21" x14ac:dyDescent="0.3"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4:21" x14ac:dyDescent="0.3">
      <c r="L34" s="13"/>
      <c r="M34" s="13"/>
      <c r="N34" s="13"/>
      <c r="O34" s="13"/>
      <c r="P34" s="13"/>
      <c r="Q34" s="13"/>
      <c r="R34" s="13"/>
      <c r="S34" s="20"/>
      <c r="T34" s="13"/>
      <c r="U34" s="13"/>
    </row>
    <row r="35" spans="4:21" x14ac:dyDescent="0.3">
      <c r="D35" s="5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4:21" x14ac:dyDescent="0.3">
      <c r="L36" s="13"/>
      <c r="M36" s="13"/>
      <c r="N36" s="13"/>
      <c r="O36" s="13"/>
      <c r="P36" s="13"/>
      <c r="Q36" s="13"/>
      <c r="R36" s="13"/>
      <c r="S36" s="13"/>
      <c r="T36" s="29"/>
      <c r="U36" s="13"/>
    </row>
    <row r="37" spans="4:21" x14ac:dyDescent="0.3"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4:21" x14ac:dyDescent="0.3">
      <c r="L38" s="13"/>
      <c r="M38" s="30"/>
      <c r="N38" s="13"/>
      <c r="O38" s="31"/>
      <c r="P38" s="30"/>
      <c r="Q38" s="13"/>
      <c r="R38" s="13"/>
      <c r="S38" s="13"/>
      <c r="T38" s="13"/>
      <c r="U38" s="13"/>
    </row>
    <row r="39" spans="4:21" x14ac:dyDescent="0.3">
      <c r="L39" s="13"/>
      <c r="M39" s="30"/>
      <c r="N39" s="13"/>
      <c r="O39" s="31"/>
      <c r="P39" s="30"/>
      <c r="Q39" s="13"/>
      <c r="R39" s="13"/>
      <c r="S39" s="13"/>
      <c r="T39" s="13"/>
      <c r="U39" s="13"/>
    </row>
    <row r="40" spans="4:21" x14ac:dyDescent="0.3">
      <c r="L40" s="13"/>
      <c r="M40" s="30"/>
      <c r="N40" s="13"/>
      <c r="O40" s="31"/>
      <c r="P40" s="30"/>
      <c r="Q40" s="13"/>
      <c r="R40" s="13"/>
      <c r="S40" s="13"/>
      <c r="T40" s="13"/>
      <c r="U40" s="13"/>
    </row>
    <row r="41" spans="4:21" x14ac:dyDescent="0.3"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4:21" x14ac:dyDescent="0.3"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4:21" x14ac:dyDescent="0.3"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4:21" x14ac:dyDescent="0.3"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4:21" x14ac:dyDescent="0.3">
      <c r="E45" s="5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4:21" x14ac:dyDescent="0.3">
      <c r="E46" s="5"/>
      <c r="L46" s="13"/>
      <c r="M46" s="26"/>
      <c r="N46" s="26"/>
      <c r="O46" s="26"/>
      <c r="P46" s="26"/>
      <c r="Q46" s="26"/>
      <c r="R46" s="26"/>
      <c r="S46" s="13"/>
      <c r="T46" s="13"/>
      <c r="U46" s="13"/>
    </row>
    <row r="47" spans="4:21" x14ac:dyDescent="0.3">
      <c r="L47" s="13"/>
      <c r="M47" s="13"/>
      <c r="N47" s="13"/>
      <c r="O47" s="13"/>
      <c r="P47" s="13"/>
      <c r="Q47" s="13"/>
      <c r="R47" s="13"/>
      <c r="S47" s="27"/>
      <c r="T47" s="13"/>
      <c r="U47" s="13"/>
    </row>
    <row r="48" spans="4:21" x14ac:dyDescent="0.3">
      <c r="L48" s="13"/>
      <c r="M48" s="13"/>
      <c r="N48" s="13"/>
      <c r="O48" s="13"/>
      <c r="P48" s="13"/>
      <c r="Q48" s="13"/>
      <c r="R48" s="13"/>
      <c r="S48" s="27"/>
      <c r="T48" s="13"/>
      <c r="U48" s="13"/>
    </row>
    <row r="49" spans="12:21" x14ac:dyDescent="0.3">
      <c r="L49" s="13"/>
      <c r="M49" s="13"/>
      <c r="N49" s="13"/>
      <c r="O49" s="13"/>
      <c r="P49" s="13"/>
      <c r="Q49" s="13"/>
      <c r="R49" s="13"/>
      <c r="S49" s="28"/>
      <c r="T49" s="13"/>
      <c r="U49" s="13"/>
    </row>
    <row r="50" spans="12:21" x14ac:dyDescent="0.3">
      <c r="L50" s="13"/>
      <c r="M50" s="13"/>
      <c r="N50" s="13"/>
      <c r="O50" s="13"/>
      <c r="P50" s="13"/>
      <c r="Q50" s="13"/>
      <c r="R50" s="13"/>
      <c r="S50" s="28"/>
      <c r="T50" s="13"/>
      <c r="U50" s="13"/>
    </row>
    <row r="51" spans="12:21" x14ac:dyDescent="0.3">
      <c r="L51" s="13"/>
      <c r="M51" s="13"/>
      <c r="N51" s="13"/>
      <c r="O51" s="13"/>
      <c r="P51" s="13"/>
      <c r="Q51" s="13"/>
      <c r="R51" s="13"/>
      <c r="S51" s="27"/>
      <c r="T51" s="13"/>
      <c r="U51" s="13"/>
    </row>
    <row r="52" spans="12:21" x14ac:dyDescent="0.3">
      <c r="L52" s="13"/>
      <c r="M52" s="13"/>
      <c r="N52" s="13"/>
      <c r="O52" s="13"/>
      <c r="P52" s="13"/>
      <c r="Q52" s="13"/>
      <c r="R52" s="13"/>
      <c r="S52" s="27"/>
      <c r="T52" s="13"/>
      <c r="U52" s="13"/>
    </row>
    <row r="53" spans="12:21" x14ac:dyDescent="0.3">
      <c r="L53" s="13"/>
      <c r="M53" s="13"/>
      <c r="N53" s="13"/>
      <c r="O53" s="13"/>
      <c r="P53" s="13"/>
      <c r="Q53" s="13"/>
      <c r="R53" s="13"/>
      <c r="S53" s="27"/>
      <c r="T53" s="29"/>
      <c r="U53" s="13"/>
    </row>
    <row r="54" spans="12:21" x14ac:dyDescent="0.3"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2:21" x14ac:dyDescent="0.3">
      <c r="L55" s="13"/>
      <c r="M55" s="30"/>
      <c r="N55" s="13"/>
      <c r="O55" s="31"/>
      <c r="P55" s="30"/>
      <c r="Q55" s="13"/>
      <c r="R55" s="13"/>
      <c r="S55" s="13"/>
      <c r="T55" s="13"/>
      <c r="U55" s="13"/>
    </row>
    <row r="56" spans="12:21" x14ac:dyDescent="0.3">
      <c r="L56" s="13"/>
      <c r="M56" s="30"/>
      <c r="N56" s="13"/>
      <c r="O56" s="31"/>
      <c r="P56" s="30"/>
      <c r="Q56" s="13"/>
      <c r="R56" s="13"/>
      <c r="S56" s="13"/>
      <c r="T56" s="13"/>
      <c r="U56" s="13"/>
    </row>
    <row r="57" spans="12:21" x14ac:dyDescent="0.3">
      <c r="L57" s="13"/>
      <c r="M57" s="30"/>
      <c r="N57" s="13"/>
      <c r="O57" s="31"/>
      <c r="P57" s="30"/>
      <c r="Q57" s="13"/>
      <c r="R57" s="13"/>
      <c r="S57" s="13"/>
      <c r="T57" s="13"/>
      <c r="U57" s="13"/>
    </row>
    <row r="58" spans="12:21" x14ac:dyDescent="0.3"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73" spans="4:4" x14ac:dyDescent="0.3">
      <c r="D73" s="5"/>
    </row>
    <row r="74" spans="4:4" x14ac:dyDescent="0.3">
      <c r="D74" s="5"/>
    </row>
    <row r="77" spans="4:4" x14ac:dyDescent="0.3">
      <c r="D77" t="str">
        <f>IF(J27&lt;J16,"Not possible, too low!","")</f>
        <v/>
      </c>
    </row>
    <row r="79" spans="4:4" x14ac:dyDescent="0.3">
      <c r="D79" s="5"/>
    </row>
    <row r="80" spans="4:4" x14ac:dyDescent="0.3">
      <c r="D80" s="5"/>
    </row>
    <row r="86" spans="1:4" x14ac:dyDescent="0.3">
      <c r="D86" s="15"/>
    </row>
    <row r="87" spans="1:4" x14ac:dyDescent="0.3">
      <c r="D87" s="15"/>
    </row>
    <row r="88" spans="1:4" x14ac:dyDescent="0.3">
      <c r="D88" s="15"/>
    </row>
    <row r="89" spans="1:4" x14ac:dyDescent="0.3">
      <c r="D89" s="15"/>
    </row>
    <row r="90" spans="1:4" x14ac:dyDescent="0.3">
      <c r="D90" s="15"/>
    </row>
    <row r="91" spans="1:4" x14ac:dyDescent="0.3">
      <c r="D91" s="15"/>
    </row>
    <row r="92" spans="1:4" x14ac:dyDescent="0.3">
      <c r="D92" s="15"/>
    </row>
    <row r="95" spans="1:4" x14ac:dyDescent="0.3">
      <c r="A95" s="13"/>
      <c r="B95" s="4"/>
      <c r="C95" s="13"/>
    </row>
    <row r="96" spans="1:4" x14ac:dyDescent="0.3">
      <c r="A96" s="13"/>
      <c r="B96" s="3"/>
      <c r="C96" s="3"/>
      <c r="D96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5</v>
      </c>
      <c r="C2" t="s">
        <v>3</v>
      </c>
      <c r="E2" t="s">
        <v>4</v>
      </c>
      <c r="F2" s="16">
        <f>2*PI()*B2/9.81/B3^2</f>
        <v>3.0186058954519819E-2</v>
      </c>
      <c r="G2" s="2" t="s">
        <v>5</v>
      </c>
      <c r="I2" t="s">
        <v>40</v>
      </c>
      <c r="J2" s="4">
        <f>B6-0.4*B2</f>
        <v>-1</v>
      </c>
      <c r="K2" t="s">
        <v>10</v>
      </c>
    </row>
    <row r="3" spans="1:11" ht="15.6" x14ac:dyDescent="0.35">
      <c r="A3" t="s">
        <v>6</v>
      </c>
      <c r="B3" s="58">
        <v>10.3</v>
      </c>
      <c r="C3" t="s">
        <v>7</v>
      </c>
      <c r="E3" t="s">
        <v>22</v>
      </c>
      <c r="F3" s="3">
        <f>(B14-B13)/B13</f>
        <v>1.6341463414634145</v>
      </c>
      <c r="G3" s="2" t="s">
        <v>5</v>
      </c>
      <c r="I3" t="s">
        <v>42</v>
      </c>
      <c r="J3">
        <f>B7-0.4*B8</f>
        <v>-1.8</v>
      </c>
      <c r="K3" t="s">
        <v>10</v>
      </c>
    </row>
    <row r="4" spans="1:11" ht="15.6" x14ac:dyDescent="0.35">
      <c r="A4" t="s">
        <v>8</v>
      </c>
      <c r="B4" s="58">
        <v>6</v>
      </c>
      <c r="C4" t="s">
        <v>3</v>
      </c>
      <c r="E4" t="s">
        <v>90</v>
      </c>
      <c r="F4" s="4">
        <f>B17+(B18-B17)/2</f>
        <v>8</v>
      </c>
      <c r="G4" t="s">
        <v>19</v>
      </c>
      <c r="I4" s="58" t="s">
        <v>103</v>
      </c>
      <c r="J4" s="58">
        <v>-1.8</v>
      </c>
      <c r="K4" t="s">
        <v>10</v>
      </c>
    </row>
    <row r="5" spans="1:11" ht="15.6" x14ac:dyDescent="0.35">
      <c r="A5" t="s">
        <v>9</v>
      </c>
      <c r="B5" s="58">
        <v>2</v>
      </c>
      <c r="C5" t="s">
        <v>10</v>
      </c>
      <c r="E5" t="s">
        <v>91</v>
      </c>
      <c r="F5" s="3">
        <f>(F4*1000/B14)^(1/3)</f>
        <v>1.4362897933545891</v>
      </c>
      <c r="G5" t="s">
        <v>3</v>
      </c>
      <c r="I5" s="5" t="s">
        <v>94</v>
      </c>
      <c r="J5" s="5">
        <f>B7-0.6*B8</f>
        <v>-2.6999999999999997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2.1302814422924325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Partly reshaping</v>
      </c>
      <c r="I7" s="1" t="s">
        <v>68</v>
      </c>
    </row>
    <row r="8" spans="1:11" ht="15.6" x14ac:dyDescent="0.35">
      <c r="A8" t="s">
        <v>12</v>
      </c>
      <c r="B8" s="58">
        <v>4.5</v>
      </c>
      <c r="C8" t="s">
        <v>3</v>
      </c>
      <c r="E8" t="s">
        <v>92</v>
      </c>
      <c r="F8" s="21">
        <f>IF(B21="",2,3)</f>
        <v>3</v>
      </c>
      <c r="I8" t="s">
        <v>36</v>
      </c>
      <c r="J8" s="4">
        <f>1.2*B2+B5</f>
        <v>8</v>
      </c>
      <c r="K8" t="s">
        <v>10</v>
      </c>
    </row>
    <row r="9" spans="1:11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3.1212499596687673</v>
      </c>
      <c r="G9" t="s">
        <v>3</v>
      </c>
      <c r="I9" t="s">
        <v>37</v>
      </c>
      <c r="J9" s="4">
        <f>1.4*B2+B5</f>
        <v>9</v>
      </c>
      <c r="K9" t="s">
        <v>10</v>
      </c>
    </row>
    <row r="10" spans="1:11" ht="15.6" x14ac:dyDescent="0.35">
      <c r="A10" t="s">
        <v>71</v>
      </c>
      <c r="B10" s="58">
        <v>-10</v>
      </c>
      <c r="C10" t="s">
        <v>10</v>
      </c>
      <c r="E10" t="s">
        <v>74</v>
      </c>
      <c r="F10" s="3">
        <f>(1.6*F5*(F6*B4/B2-1)^2.5-F9)/2+F9</f>
        <v>5.0327206005484353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0.43916273470466094</v>
      </c>
    </row>
    <row r="11" spans="1:11" ht="15.6" x14ac:dyDescent="0.35">
      <c r="A11" t="s">
        <v>14</v>
      </c>
      <c r="B11" s="59">
        <v>1</v>
      </c>
      <c r="C11" t="s">
        <v>106</v>
      </c>
      <c r="E11" t="s">
        <v>118</v>
      </c>
      <c r="F11" s="20">
        <f>((B19+(B20-B19)/2)*1000/B14)^(1/3)</f>
        <v>1.1856311014966876</v>
      </c>
      <c r="G11" t="s">
        <v>3</v>
      </c>
      <c r="I11" t="s">
        <v>84</v>
      </c>
      <c r="J11" s="19">
        <f>(-1*LN(B11/1000/0.1035/(9.81*B2^3)^0.5))^(1/1.3)*B2*J10/(1.35)+B5</f>
        <v>10.203689177081587</v>
      </c>
      <c r="K11" t="s">
        <v>10</v>
      </c>
    </row>
    <row r="12" spans="1:11" ht="15.6" x14ac:dyDescent="0.35">
      <c r="A12" t="s">
        <v>15</v>
      </c>
      <c r="B12" s="59">
        <v>10</v>
      </c>
      <c r="C12" t="s">
        <v>106</v>
      </c>
      <c r="E12" t="s">
        <v>93</v>
      </c>
      <c r="F12" s="11">
        <f>IF(F8=2,"No Class III",((B21+(B22-B21)/2)*1000/B14)^(1/3))</f>
        <v>0.90480587219830222</v>
      </c>
      <c r="G12" t="str">
        <f>IF(F8=2,"","m")</f>
        <v>m</v>
      </c>
      <c r="I12" t="s">
        <v>85</v>
      </c>
      <c r="J12" s="19">
        <f>(-1*LN(B12/1000/0.1035/(9.81*B4^3)^0.5))^(1/1.3)*B4*J10/(1.35)+B5</f>
        <v>9.9096212357100057</v>
      </c>
      <c r="K12" t="s">
        <v>10</v>
      </c>
    </row>
    <row r="13" spans="1:11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10</v>
      </c>
      <c r="K13" t="s">
        <v>10</v>
      </c>
    </row>
    <row r="14" spans="1:11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30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10.404166532229224</v>
      </c>
      <c r="G16" t="s">
        <v>3</v>
      </c>
      <c r="I16" t="s">
        <v>97</v>
      </c>
      <c r="J16" s="11">
        <f>IF(F8=3,B10+1.5+2*F12,B10+1.5+2*F11)</f>
        <v>-6.6903882556033958</v>
      </c>
      <c r="K16" t="s">
        <v>10</v>
      </c>
    </row>
    <row r="17" spans="1:13" ht="15.6" x14ac:dyDescent="0.35">
      <c r="A17" t="s">
        <v>114</v>
      </c>
      <c r="B17" s="58">
        <v>6</v>
      </c>
      <c r="C17" t="s">
        <v>19</v>
      </c>
      <c r="E17" t="s">
        <v>61</v>
      </c>
      <c r="F17" s="3">
        <f>MAX(F9+F5,3*F5)</f>
        <v>4.5575397530233559</v>
      </c>
      <c r="G17" t="s">
        <v>3</v>
      </c>
      <c r="I17" s="10" t="s">
        <v>35</v>
      </c>
      <c r="M17" s="58"/>
    </row>
    <row r="18" spans="1:13" ht="15.6" x14ac:dyDescent="0.35">
      <c r="A18" t="s">
        <v>116</v>
      </c>
      <c r="B18" s="58">
        <v>10</v>
      </c>
      <c r="C18" t="s">
        <v>19</v>
      </c>
      <c r="E18" t="s">
        <v>28</v>
      </c>
      <c r="F18">
        <f>B5+0.6*B2</f>
        <v>5</v>
      </c>
      <c r="G18" t="s">
        <v>10</v>
      </c>
      <c r="I18" t="s">
        <v>44</v>
      </c>
      <c r="J18" s="58">
        <v>2</v>
      </c>
      <c r="K18" s="2" t="s">
        <v>5</v>
      </c>
    </row>
    <row r="19" spans="1:13" ht="15.6" x14ac:dyDescent="0.35">
      <c r="A19" t="s">
        <v>115</v>
      </c>
      <c r="B19" s="58">
        <v>3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-4.6938515780609427</v>
      </c>
      <c r="K19" t="s">
        <v>10</v>
      </c>
    </row>
    <row r="20" spans="1:13" ht="15.6" x14ac:dyDescent="0.35">
      <c r="A20" t="s">
        <v>117</v>
      </c>
      <c r="B20" s="58">
        <v>6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6.2928985686479351</v>
      </c>
      <c r="K20" s="63" t="str">
        <f>IF(AND(3&lt;(B6-J19)/(IF(F8=3,F12,F11)),(B6-J19)/(IF(F8=3,F12,F11))&lt;25),"ok","out of range")</f>
        <v>ok</v>
      </c>
    </row>
    <row r="21" spans="1:13" ht="15.6" x14ac:dyDescent="0.35">
      <c r="A21" t="s">
        <v>82</v>
      </c>
      <c r="B21" s="58">
        <v>1</v>
      </c>
      <c r="C21" t="s">
        <v>19</v>
      </c>
      <c r="E21" t="s">
        <v>32</v>
      </c>
      <c r="F21" s="3">
        <f>F20+2*F5</f>
        <v>4.8725795867091781</v>
      </c>
      <c r="G21" t="s">
        <v>10</v>
      </c>
      <c r="I21" t="s">
        <v>47</v>
      </c>
      <c r="J21" s="11">
        <f>(B6-J19)/(B6-B10)</f>
        <v>0.51762287073281299</v>
      </c>
      <c r="K21" s="63" t="str">
        <f>IF(AND(0.4&lt;(B6-J19)/(B6-B10),(B6-J19)/(B6-B10)&lt;0.9),"ok","out of range")</f>
        <v>ok</v>
      </c>
    </row>
    <row r="22" spans="1:13" ht="15.6" x14ac:dyDescent="0.35">
      <c r="A22" t="s">
        <v>83</v>
      </c>
      <c r="B22" s="58">
        <v>3</v>
      </c>
      <c r="C22" t="s">
        <v>19</v>
      </c>
      <c r="E22" s="58" t="s">
        <v>100</v>
      </c>
      <c r="F22" s="60">
        <v>10.5</v>
      </c>
      <c r="G22" t="s">
        <v>3</v>
      </c>
      <c r="I22" s="10" t="s">
        <v>39</v>
      </c>
      <c r="J22" s="11"/>
    </row>
    <row r="23" spans="1:13" ht="15.6" x14ac:dyDescent="0.35">
      <c r="E23" s="58" t="s">
        <v>101</v>
      </c>
      <c r="F23" s="60">
        <v>5</v>
      </c>
      <c r="G23" t="s">
        <v>10</v>
      </c>
      <c r="I23" t="s">
        <v>45</v>
      </c>
      <c r="J23" s="58">
        <v>4</v>
      </c>
      <c r="K23" s="2" t="s">
        <v>5</v>
      </c>
    </row>
    <row r="24" spans="1:13" ht="15.6" x14ac:dyDescent="0.35">
      <c r="I24" t="s">
        <v>99</v>
      </c>
      <c r="J24" s="11">
        <f>B6-((((B4/F3/(IF(F8=3,F12,F11)))*J23^-0.15)-2)/6.2)^(1/2.7)*(B6-B10)</f>
        <v>-5.1606711190242587</v>
      </c>
      <c r="K24" t="s">
        <v>10</v>
      </c>
    </row>
    <row r="25" spans="1:13" ht="15.6" x14ac:dyDescent="0.35">
      <c r="E25" s="6" t="s">
        <v>26</v>
      </c>
      <c r="F25" s="4">
        <f>2*F6*B2</f>
        <v>21.302814422924325</v>
      </c>
      <c r="G25" t="s">
        <v>3</v>
      </c>
      <c r="I25" t="s">
        <v>46</v>
      </c>
      <c r="J25" s="12">
        <f>(B6-J24)/(IF(F8=3,F12,F11))</f>
        <v>6.8088319365748458</v>
      </c>
      <c r="K25" s="63" t="str">
        <f>IF(AND(3&lt;(B6-J24)/(IF(F8=3,F12,F11)),(B6-J24)/(IF(F8=3,F12,F11))&lt;25),"ok","out of range")</f>
        <v>ok</v>
      </c>
    </row>
    <row r="26" spans="1:13" ht="15.6" x14ac:dyDescent="0.35">
      <c r="E26" s="58" t="s">
        <v>102</v>
      </c>
      <c r="F26" s="61">
        <v>21</v>
      </c>
      <c r="G26" t="s">
        <v>48</v>
      </c>
      <c r="I26" t="s">
        <v>47</v>
      </c>
      <c r="J26" s="11">
        <f>(B6-J24)/(B6-B10)</f>
        <v>0.56006101082038717</v>
      </c>
      <c r="K26" s="63" t="str">
        <f>IF(AND(0.4&lt;(B6-J24)/(B6-B10),(B6-J19)/(B6-B10)&lt;0.9),"ok","out of range")</f>
        <v>ok</v>
      </c>
    </row>
    <row r="27" spans="1:13" x14ac:dyDescent="0.3">
      <c r="I27" s="58" t="s">
        <v>109</v>
      </c>
      <c r="J27" s="58">
        <v>-6</v>
      </c>
      <c r="K27" t="s">
        <v>10</v>
      </c>
    </row>
    <row r="28" spans="1:13" ht="15.6" x14ac:dyDescent="0.35">
      <c r="I28" s="58" t="s">
        <v>105</v>
      </c>
      <c r="J28" s="58">
        <v>2</v>
      </c>
      <c r="K28" s="2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5</v>
      </c>
      <c r="C2" t="s">
        <v>3</v>
      </c>
      <c r="E2" t="s">
        <v>4</v>
      </c>
      <c r="F2" s="16">
        <f>2*PI()*B2/9.81/B3^2</f>
        <v>3.0186058954519819E-2</v>
      </c>
      <c r="G2" s="2" t="s">
        <v>5</v>
      </c>
      <c r="I2" t="s">
        <v>40</v>
      </c>
      <c r="J2" s="4">
        <f>B6-0.4*B2</f>
        <v>-1</v>
      </c>
      <c r="K2" t="s">
        <v>10</v>
      </c>
    </row>
    <row r="3" spans="1:11" ht="15.6" x14ac:dyDescent="0.35">
      <c r="A3" t="s">
        <v>6</v>
      </c>
      <c r="B3" s="58">
        <v>10.3</v>
      </c>
      <c r="C3" t="s">
        <v>7</v>
      </c>
      <c r="E3" t="s">
        <v>22</v>
      </c>
      <c r="F3" s="3">
        <f>(B14-B13)/B13</f>
        <v>1.6341463414634145</v>
      </c>
      <c r="G3" s="2" t="s">
        <v>5</v>
      </c>
      <c r="I3" t="s">
        <v>42</v>
      </c>
      <c r="J3">
        <f>B7-0.4*B8</f>
        <v>-1.8</v>
      </c>
      <c r="K3" t="s">
        <v>10</v>
      </c>
    </row>
    <row r="4" spans="1:11" ht="15.6" x14ac:dyDescent="0.35">
      <c r="A4" t="s">
        <v>8</v>
      </c>
      <c r="B4" s="58">
        <v>6</v>
      </c>
      <c r="C4" t="s">
        <v>3</v>
      </c>
      <c r="E4" t="s">
        <v>90</v>
      </c>
      <c r="F4" s="4">
        <f>B17+(B18-B17)/2</f>
        <v>4.5</v>
      </c>
      <c r="G4" t="s">
        <v>19</v>
      </c>
      <c r="I4" s="58" t="s">
        <v>103</v>
      </c>
      <c r="J4" s="58">
        <v>-1.8</v>
      </c>
      <c r="K4" t="s">
        <v>10</v>
      </c>
    </row>
    <row r="5" spans="1:11" ht="15.6" x14ac:dyDescent="0.35">
      <c r="A5" t="s">
        <v>9</v>
      </c>
      <c r="B5" s="58">
        <v>2</v>
      </c>
      <c r="C5" t="s">
        <v>10</v>
      </c>
      <c r="E5" t="s">
        <v>91</v>
      </c>
      <c r="F5" s="3">
        <f>(F4*1000/B14)^(1/3)</f>
        <v>1.1856311014966876</v>
      </c>
      <c r="G5" t="s">
        <v>3</v>
      </c>
      <c r="I5" s="5" t="s">
        <v>94</v>
      </c>
      <c r="J5" s="5">
        <f>B7-0.6*B8</f>
        <v>-2.6999999999999997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2.5806521848784865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Fully reshaping</v>
      </c>
      <c r="I7" s="1" t="s">
        <v>68</v>
      </c>
    </row>
    <row r="8" spans="1:11" ht="15.6" x14ac:dyDescent="0.35">
      <c r="A8" t="s">
        <v>12</v>
      </c>
      <c r="B8" s="58">
        <v>4.5</v>
      </c>
      <c r="C8" t="s">
        <v>3</v>
      </c>
      <c r="E8" t="s">
        <v>92</v>
      </c>
      <c r="F8" s="21">
        <f>IF(B21="",2,3)</f>
        <v>2</v>
      </c>
      <c r="I8" t="s">
        <v>36</v>
      </c>
      <c r="J8" s="4">
        <f>1.2*B2+B5</f>
        <v>8</v>
      </c>
      <c r="K8" t="s">
        <v>10</v>
      </c>
    </row>
    <row r="9" spans="1:11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5.9588212218262937</v>
      </c>
      <c r="G9" t="s">
        <v>3</v>
      </c>
      <c r="I9" t="s">
        <v>37</v>
      </c>
      <c r="J9" s="4">
        <f>1.4*B2+B5</f>
        <v>9</v>
      </c>
      <c r="K9" t="s">
        <v>10</v>
      </c>
    </row>
    <row r="10" spans="1:11" ht="15.6" x14ac:dyDescent="0.35">
      <c r="A10" t="s">
        <v>71</v>
      </c>
      <c r="B10" s="58">
        <v>-10</v>
      </c>
      <c r="C10" t="s">
        <v>10</v>
      </c>
      <c r="E10" t="s">
        <v>74</v>
      </c>
      <c r="F10" s="3">
        <f>(1.6*F5*(F6*B4/B2-1)^2.5-F9)/2+F9</f>
        <v>9.0178274765233812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0.39710049914334794</v>
      </c>
    </row>
    <row r="11" spans="1:11" ht="15.6" x14ac:dyDescent="0.35">
      <c r="A11" t="s">
        <v>14</v>
      </c>
      <c r="B11" s="59">
        <v>1</v>
      </c>
      <c r="C11" t="s">
        <v>106</v>
      </c>
      <c r="E11" t="s">
        <v>118</v>
      </c>
      <c r="F11" s="20">
        <f>((B19+(B20-B19)/2)*1000/B14)^(1/3)</f>
        <v>0.90480587219830222</v>
      </c>
      <c r="G11" t="s">
        <v>3</v>
      </c>
      <c r="I11" t="s">
        <v>84</v>
      </c>
      <c r="J11" s="19">
        <f>(-1*LN(B11/1000/0.1035/(9.81*B2^3)^0.5))^(1/1.3)*B2*J10/(1.35)+B5</f>
        <v>9.4179542333590565</v>
      </c>
      <c r="K11" t="s">
        <v>10</v>
      </c>
    </row>
    <row r="12" spans="1:11" ht="15.6" x14ac:dyDescent="0.35">
      <c r="A12" t="s">
        <v>15</v>
      </c>
      <c r="B12" s="59">
        <v>10</v>
      </c>
      <c r="C12" t="s">
        <v>106</v>
      </c>
      <c r="E12" t="s">
        <v>93</v>
      </c>
      <c r="F12" s="33" t="str">
        <f>IF(F8=2,"No Class III",((B21+(B22-B21)/2)*1000/B14)^(1/3))</f>
        <v>No Class III</v>
      </c>
      <c r="G12" t="str">
        <f>IF(F8=2,"","m")</f>
        <v/>
      </c>
      <c r="I12" t="s">
        <v>85</v>
      </c>
      <c r="J12" s="19">
        <f>(-1*LN(B12/1000/0.1035/(9.81*B4^3)^0.5))^(1/1.3)*B4*J10/(1.35)+B5</f>
        <v>9.1520516030294523</v>
      </c>
      <c r="K12" t="s">
        <v>10</v>
      </c>
    </row>
    <row r="13" spans="1:11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9.3000000000000007</v>
      </c>
      <c r="K13" t="s">
        <v>10</v>
      </c>
    </row>
    <row r="14" spans="1:11" ht="16.2" x14ac:dyDescent="0.3">
      <c r="A14" t="s">
        <v>17</v>
      </c>
      <c r="B14" s="58">
        <v>2700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50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11.917642443652587</v>
      </c>
      <c r="G16" t="s">
        <v>3</v>
      </c>
      <c r="I16" t="s">
        <v>97</v>
      </c>
      <c r="J16" s="11">
        <f>IF(F8=3,B10+1.5+2*F12,B10+1.5+2*F11)</f>
        <v>-6.6903882556033958</v>
      </c>
      <c r="K16" t="s">
        <v>10</v>
      </c>
    </row>
    <row r="17" spans="1:11" ht="15.6" x14ac:dyDescent="0.35">
      <c r="A17" t="s">
        <v>114</v>
      </c>
      <c r="B17" s="58">
        <v>3</v>
      </c>
      <c r="C17" t="s">
        <v>19</v>
      </c>
      <c r="E17" t="s">
        <v>61</v>
      </c>
      <c r="F17" s="3">
        <f>MAX(F9+F5,3*F5)</f>
        <v>7.1444523233229811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6</v>
      </c>
      <c r="C18" t="s">
        <v>19</v>
      </c>
      <c r="E18" t="s">
        <v>28</v>
      </c>
      <c r="F18">
        <f>B5+0.6*B2</f>
        <v>5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1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-4.6938515780609427</v>
      </c>
      <c r="K19" t="s">
        <v>10</v>
      </c>
    </row>
    <row r="20" spans="1:11" ht="15.6" x14ac:dyDescent="0.35">
      <c r="A20" t="s">
        <v>117</v>
      </c>
      <c r="B20" s="58">
        <v>3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6.2928985686479351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/>
      <c r="C21" t="s">
        <v>19</v>
      </c>
      <c r="E21" t="s">
        <v>32</v>
      </c>
      <c r="F21" s="3">
        <f>F20+2*F5</f>
        <v>4.3712622029933748</v>
      </c>
      <c r="G21" t="s">
        <v>10</v>
      </c>
      <c r="I21" t="s">
        <v>47</v>
      </c>
      <c r="J21" s="11">
        <f>(B6-J19)/(B6-B10)</f>
        <v>0.51762287073281299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/>
      <c r="C22" t="s">
        <v>19</v>
      </c>
      <c r="E22" s="58" t="s">
        <v>100</v>
      </c>
      <c r="F22" s="60">
        <v>12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4.5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-5.1606711190242587</v>
      </c>
      <c r="K24" t="s">
        <v>10</v>
      </c>
    </row>
    <row r="25" spans="1:11" ht="15.6" x14ac:dyDescent="0.35">
      <c r="E25" s="6" t="s">
        <v>26</v>
      </c>
      <c r="F25" s="4">
        <f>2*F6*B2</f>
        <v>25.806521848784865</v>
      </c>
      <c r="G25" t="s">
        <v>3</v>
      </c>
      <c r="I25" t="s">
        <v>46</v>
      </c>
      <c r="J25" s="12">
        <f>(B6-J24)/(IF(F8=3,F12,F11))</f>
        <v>6.8088319365748458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26</v>
      </c>
      <c r="G26" t="s">
        <v>48</v>
      </c>
      <c r="I26" t="s">
        <v>47</v>
      </c>
      <c r="J26" s="11">
        <f>(B6-J24)/(B6-B10)</f>
        <v>0.56006101082038717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0</v>
      </c>
      <c r="K27" t="s">
        <v>10</v>
      </c>
    </row>
    <row r="28" spans="1:11" ht="15.6" x14ac:dyDescent="0.35">
      <c r="I28" s="58" t="s">
        <v>105</v>
      </c>
      <c r="J28" s="58">
        <v>2.5</v>
      </c>
      <c r="K28" s="2" t="s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3</v>
      </c>
      <c r="C2" t="s">
        <v>3</v>
      </c>
      <c r="E2" t="s">
        <v>4</v>
      </c>
      <c r="F2" s="16">
        <f>2*PI()*B2/9.81/B3^2</f>
        <v>2.0006907504071268E-2</v>
      </c>
      <c r="G2" s="2" t="s">
        <v>5</v>
      </c>
      <c r="I2" t="s">
        <v>40</v>
      </c>
      <c r="J2" s="4">
        <f>B6-0.4*B2</f>
        <v>-0.20000000000000018</v>
      </c>
      <c r="K2" t="s">
        <v>10</v>
      </c>
    </row>
    <row r="3" spans="1:11" ht="15.6" x14ac:dyDescent="0.35">
      <c r="A3" t="s">
        <v>6</v>
      </c>
      <c r="B3" s="58">
        <v>9.8000000000000007</v>
      </c>
      <c r="C3" t="s">
        <v>7</v>
      </c>
      <c r="E3" t="s">
        <v>22</v>
      </c>
      <c r="F3" s="3">
        <f>(B14-B13)/B13</f>
        <v>1.5365853658536586</v>
      </c>
      <c r="G3" s="2" t="s">
        <v>5</v>
      </c>
      <c r="I3" t="s">
        <v>42</v>
      </c>
      <c r="J3">
        <f>B7-0.4*B8</f>
        <v>-1.2000000000000002</v>
      </c>
      <c r="K3" t="s">
        <v>10</v>
      </c>
    </row>
    <row r="4" spans="1:11" ht="15.6" x14ac:dyDescent="0.35">
      <c r="A4" t="s">
        <v>8</v>
      </c>
      <c r="B4" s="58">
        <v>3.5</v>
      </c>
      <c r="C4" t="s">
        <v>3</v>
      </c>
      <c r="E4" t="s">
        <v>90</v>
      </c>
      <c r="F4" s="4">
        <f>B17+(B18-B17)/2</f>
        <v>2.5</v>
      </c>
      <c r="G4" t="s">
        <v>19</v>
      </c>
      <c r="I4" s="58" t="s">
        <v>103</v>
      </c>
      <c r="J4" s="58">
        <v>-1.8</v>
      </c>
      <c r="K4" t="s">
        <v>10</v>
      </c>
    </row>
    <row r="5" spans="1:11" ht="15.6" x14ac:dyDescent="0.35">
      <c r="A5" t="s">
        <v>9</v>
      </c>
      <c r="B5" s="58">
        <v>1</v>
      </c>
      <c r="C5" t="s">
        <v>10</v>
      </c>
      <c r="E5" t="s">
        <v>91</v>
      </c>
      <c r="F5" s="3">
        <f>(F4*1000/B14)^(1/3)</f>
        <v>0.98701151687428557</v>
      </c>
      <c r="G5" t="s">
        <v>3</v>
      </c>
      <c r="I5" s="5" t="s">
        <v>94</v>
      </c>
      <c r="J5" s="5">
        <f>B7-0.6*B8</f>
        <v>-1.7999999999999998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1.9780731217441556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Hardly reshaping</v>
      </c>
      <c r="I7" s="1" t="s">
        <v>68</v>
      </c>
    </row>
    <row r="8" spans="1:11" ht="15.6" x14ac:dyDescent="0.35">
      <c r="A8" t="s">
        <v>12</v>
      </c>
      <c r="B8" s="58">
        <v>3</v>
      </c>
      <c r="C8" t="s">
        <v>3</v>
      </c>
      <c r="E8" t="s">
        <v>92</v>
      </c>
      <c r="F8" s="21">
        <f>IF(B21="",2,3)</f>
        <v>2</v>
      </c>
      <c r="I8" t="s">
        <v>36</v>
      </c>
      <c r="J8" s="4">
        <f>1.2*B2+B5</f>
        <v>4.5999999999999996</v>
      </c>
      <c r="K8" t="s">
        <v>10</v>
      </c>
    </row>
    <row r="9" spans="1:11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1.4940685143976971</v>
      </c>
      <c r="G9" t="s">
        <v>3</v>
      </c>
      <c r="I9" t="s">
        <v>37</v>
      </c>
      <c r="J9" s="4">
        <f>1.4*B2+B5</f>
        <v>5.1999999999999993</v>
      </c>
      <c r="K9" t="s">
        <v>10</v>
      </c>
    </row>
    <row r="10" spans="1:11" ht="15.6" x14ac:dyDescent="0.35">
      <c r="A10" t="s">
        <v>71</v>
      </c>
      <c r="B10" s="58">
        <v>-9</v>
      </c>
      <c r="C10" t="s">
        <v>10</v>
      </c>
      <c r="E10" t="s">
        <v>74</v>
      </c>
      <c r="F10" s="3">
        <f>(1.6*F5*(F6*B4/B2-1)^2.5-F9)/2+F9</f>
        <v>2.2913129133120567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0.45663558289834605</v>
      </c>
    </row>
    <row r="11" spans="1:11" ht="15.6" x14ac:dyDescent="0.35">
      <c r="A11" t="s">
        <v>14</v>
      </c>
      <c r="B11" s="59">
        <v>5</v>
      </c>
      <c r="C11" t="s">
        <v>106</v>
      </c>
      <c r="E11" t="s">
        <v>118</v>
      </c>
      <c r="F11" s="20">
        <f>((B19+(B20-B19)/2)*1000/B14)^(1/3)</f>
        <v>0.61337485379652124</v>
      </c>
      <c r="G11" t="s">
        <v>3</v>
      </c>
      <c r="I11" t="s">
        <v>84</v>
      </c>
      <c r="J11" s="19">
        <f>(-1*LN(B11/1000/0.1035/(9.81*B2^3)^0.5))^(1/1.3)*B2*J10/(1.35)+B5</f>
        <v>4.9331940162119938</v>
      </c>
      <c r="K11" t="s">
        <v>10</v>
      </c>
    </row>
    <row r="12" spans="1:11" ht="15.6" x14ac:dyDescent="0.35">
      <c r="A12" t="s">
        <v>15</v>
      </c>
      <c r="B12" s="59">
        <v>20</v>
      </c>
      <c r="C12" t="s">
        <v>106</v>
      </c>
      <c r="E12" t="s">
        <v>93</v>
      </c>
      <c r="F12" s="33" t="str">
        <f>IF(F8=2,"No Class III",((B21+(B22-B21)/2)*1000/B14)^(1/3))</f>
        <v>No Class III</v>
      </c>
      <c r="G12" t="str">
        <f>IF(F8=2,"","m")</f>
        <v/>
      </c>
      <c r="I12" t="s">
        <v>85</v>
      </c>
      <c r="J12" s="19">
        <f>(-1*LN(B12/1000/0.1035/(9.81*B4^3)^0.5))^(1/1.3)*B4*J10/(1.35)+B5</f>
        <v>4.8706395530486741</v>
      </c>
      <c r="K12" t="s">
        <v>10</v>
      </c>
    </row>
    <row r="13" spans="1:11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4.8</v>
      </c>
      <c r="K13" t="s">
        <v>10</v>
      </c>
    </row>
    <row r="14" spans="1:11" ht="16.2" x14ac:dyDescent="0.3">
      <c r="A14" t="s">
        <v>17</v>
      </c>
      <c r="B14" s="58">
        <v>2600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20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7.4703425719884846</v>
      </c>
      <c r="G16" t="s">
        <v>3</v>
      </c>
      <c r="I16" t="s">
        <v>97</v>
      </c>
      <c r="J16" s="11">
        <f>IF(F8=3,B10+1.5+2*F12,B10+1.5+2*F11)</f>
        <v>-6.2732502924069573</v>
      </c>
      <c r="K16" t="s">
        <v>10</v>
      </c>
    </row>
    <row r="17" spans="1:11" ht="15.6" x14ac:dyDescent="0.35">
      <c r="A17" t="s">
        <v>114</v>
      </c>
      <c r="B17" s="58">
        <v>1</v>
      </c>
      <c r="C17" t="s">
        <v>19</v>
      </c>
      <c r="E17" t="s">
        <v>61</v>
      </c>
      <c r="F17" s="3">
        <f>MAX(F9+F5,3*F5)</f>
        <v>2.9610345506228568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4</v>
      </c>
      <c r="C18" t="s">
        <v>19</v>
      </c>
      <c r="E18" t="s">
        <v>28</v>
      </c>
      <c r="F18">
        <f>B5+0.6*B2</f>
        <v>2.8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0.2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-3.8292481240734926</v>
      </c>
      <c r="K19" t="s">
        <v>10</v>
      </c>
    </row>
    <row r="20" spans="1:11" ht="15.6" x14ac:dyDescent="0.35">
      <c r="A20" t="s">
        <v>117</v>
      </c>
      <c r="B20" s="58">
        <v>1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7.8732411251986703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/>
      <c r="C21" t="s">
        <v>19</v>
      </c>
      <c r="E21" t="s">
        <v>32</v>
      </c>
      <c r="F21" s="3">
        <f>F20+2*F5</f>
        <v>3.9740230337485709</v>
      </c>
      <c r="G21" t="s">
        <v>10</v>
      </c>
      <c r="I21" t="s">
        <v>47</v>
      </c>
      <c r="J21" s="11">
        <f>(B6-J19)/(B6-B10)</f>
        <v>0.48292481240734925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/>
      <c r="C22" t="s">
        <v>19</v>
      </c>
      <c r="E22" s="58" t="s">
        <v>100</v>
      </c>
      <c r="F22" s="60">
        <v>8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4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-4.1182835832289166</v>
      </c>
      <c r="K24" t="s">
        <v>10</v>
      </c>
    </row>
    <row r="25" spans="1:11" ht="15.6" x14ac:dyDescent="0.35">
      <c r="E25" s="6" t="s">
        <v>26</v>
      </c>
      <c r="F25" s="4">
        <f>2*F6*B2</f>
        <v>11.868438730464934</v>
      </c>
      <c r="G25" t="s">
        <v>3</v>
      </c>
      <c r="I25" t="s">
        <v>46</v>
      </c>
      <c r="J25" s="12">
        <f>(B6-J24)/(IF(F8=3,F12,F11))</f>
        <v>8.3444626912058535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12</v>
      </c>
      <c r="G26" t="s">
        <v>48</v>
      </c>
      <c r="I26" t="s">
        <v>47</v>
      </c>
      <c r="J26" s="11">
        <f>(B6-J24)/(B6-B10)</f>
        <v>0.51182835832289164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0</v>
      </c>
      <c r="K27" t="s">
        <v>10</v>
      </c>
    </row>
    <row r="28" spans="1:11" ht="15.6" x14ac:dyDescent="0.35">
      <c r="I28" s="58" t="s">
        <v>105</v>
      </c>
      <c r="J28" s="58">
        <v>1.5</v>
      </c>
      <c r="K28" s="2" t="s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9"/>
  <sheetViews>
    <sheetView workbookViewId="0">
      <selection activeCell="F10" sqref="F10"/>
    </sheetView>
  </sheetViews>
  <sheetFormatPr defaultRowHeight="14.4" x14ac:dyDescent="0.3"/>
  <cols>
    <col min="1" max="1" width="37" customWidth="1"/>
    <col min="2" max="3" width="8.33203125" customWidth="1"/>
    <col min="4" max="4" width="3" customWidth="1"/>
    <col min="5" max="5" width="35.44140625" customWidth="1"/>
    <col min="6" max="6" width="7.6640625" customWidth="1"/>
    <col min="7" max="7" width="6.88671875" customWidth="1"/>
    <col min="8" max="8" width="2.44140625" customWidth="1"/>
    <col min="9" max="9" width="41.6640625" customWidth="1"/>
    <col min="10" max="10" width="6.44140625" customWidth="1"/>
    <col min="11" max="11" width="5.5546875" bestFit="1" customWidth="1"/>
  </cols>
  <sheetData>
    <row r="1" spans="1:11" x14ac:dyDescent="0.3">
      <c r="A1" s="1" t="s">
        <v>1</v>
      </c>
      <c r="B1" s="1"/>
      <c r="E1" s="1" t="s">
        <v>20</v>
      </c>
      <c r="I1" s="1" t="s">
        <v>75</v>
      </c>
    </row>
    <row r="2" spans="1:11" ht="15.6" x14ac:dyDescent="0.35">
      <c r="A2" t="s">
        <v>2</v>
      </c>
      <c r="B2" s="58">
        <v>3</v>
      </c>
      <c r="C2" t="s">
        <v>3</v>
      </c>
      <c r="E2" t="s">
        <v>4</v>
      </c>
      <c r="F2" s="16">
        <f>2*PI()*B2/9.81/B3^2</f>
        <v>2.0006907504071268E-2</v>
      </c>
      <c r="G2" s="2" t="s">
        <v>5</v>
      </c>
      <c r="I2" t="s">
        <v>40</v>
      </c>
      <c r="J2" s="4">
        <f>B6-0.4*B2</f>
        <v>-0.20000000000000018</v>
      </c>
      <c r="K2" t="s">
        <v>10</v>
      </c>
    </row>
    <row r="3" spans="1:11" ht="15.6" x14ac:dyDescent="0.35">
      <c r="A3" t="s">
        <v>6</v>
      </c>
      <c r="B3" s="58">
        <v>9.8000000000000007</v>
      </c>
      <c r="C3" t="s">
        <v>7</v>
      </c>
      <c r="E3" t="s">
        <v>22</v>
      </c>
      <c r="F3" s="3">
        <f>(B14-B13)/B13</f>
        <v>1.5365853658536586</v>
      </c>
      <c r="G3" s="2" t="s">
        <v>5</v>
      </c>
      <c r="I3" t="s">
        <v>42</v>
      </c>
      <c r="J3">
        <f>B7-0.4*B8</f>
        <v>-1.2000000000000002</v>
      </c>
      <c r="K3" t="s">
        <v>10</v>
      </c>
    </row>
    <row r="4" spans="1:11" ht="15.6" x14ac:dyDescent="0.35">
      <c r="A4" t="s">
        <v>8</v>
      </c>
      <c r="B4" s="58">
        <v>3.5</v>
      </c>
      <c r="C4" t="s">
        <v>3</v>
      </c>
      <c r="E4" t="s">
        <v>90</v>
      </c>
      <c r="F4" s="4">
        <f>B17+(B18-B17)/2</f>
        <v>1.25</v>
      </c>
      <c r="G4" t="s">
        <v>19</v>
      </c>
      <c r="I4" s="58" t="s">
        <v>103</v>
      </c>
      <c r="J4" s="58">
        <v>-1.8</v>
      </c>
      <c r="K4" t="s">
        <v>10</v>
      </c>
    </row>
    <row r="5" spans="1:11" ht="15.6" x14ac:dyDescent="0.35">
      <c r="A5" t="s">
        <v>9</v>
      </c>
      <c r="B5" s="58">
        <v>1</v>
      </c>
      <c r="C5" t="s">
        <v>10</v>
      </c>
      <c r="E5" t="s">
        <v>91</v>
      </c>
      <c r="F5" s="3">
        <f>(F4*1000/B14)^(1/3)</f>
        <v>0.78339156009548461</v>
      </c>
      <c r="G5" t="s">
        <v>3</v>
      </c>
      <c r="I5" s="5" t="s">
        <v>94</v>
      </c>
      <c r="J5" s="5">
        <f>B7-0.6*B8</f>
        <v>-1.7999999999999998</v>
      </c>
      <c r="K5" t="s">
        <v>10</v>
      </c>
    </row>
    <row r="6" spans="1:11" ht="15.6" x14ac:dyDescent="0.35">
      <c r="A6" t="s">
        <v>13</v>
      </c>
      <c r="B6" s="58">
        <v>1</v>
      </c>
      <c r="C6" t="s">
        <v>10</v>
      </c>
      <c r="E6" t="s">
        <v>21</v>
      </c>
      <c r="F6" s="3">
        <f>B2/F3/F5</f>
        <v>2.4922159643167259</v>
      </c>
      <c r="G6" s="2" t="s">
        <v>5</v>
      </c>
    </row>
    <row r="7" spans="1:11" ht="16.2" x14ac:dyDescent="0.35">
      <c r="A7" t="s">
        <v>11</v>
      </c>
      <c r="B7" s="58">
        <v>0</v>
      </c>
      <c r="C7" t="s">
        <v>10</v>
      </c>
      <c r="E7" s="1" t="s">
        <v>23</v>
      </c>
      <c r="F7" s="1" t="str">
        <f>IF(F6&lt;2,"Hardly reshaping",IF(F6&lt;2.5,"Partly reshaping",IF(F6&lt;3,"Fully reshaping","Dynamically stable structure, no breakwater!")))</f>
        <v>Partly reshaping</v>
      </c>
      <c r="I7" s="1" t="s">
        <v>68</v>
      </c>
    </row>
    <row r="8" spans="1:11" ht="15.6" x14ac:dyDescent="0.35">
      <c r="A8" t="s">
        <v>12</v>
      </c>
      <c r="B8" s="58">
        <v>3</v>
      </c>
      <c r="C8" t="s">
        <v>3</v>
      </c>
      <c r="E8" t="s">
        <v>92</v>
      </c>
      <c r="F8" s="21">
        <f>IF(B21="",2,3)</f>
        <v>2</v>
      </c>
      <c r="I8" t="s">
        <v>36</v>
      </c>
      <c r="J8" s="4">
        <f>1.2*B2+B5</f>
        <v>4.5999999999999996</v>
      </c>
      <c r="K8" t="s">
        <v>10</v>
      </c>
    </row>
    <row r="9" spans="1:11" ht="15.6" x14ac:dyDescent="0.35">
      <c r="A9" t="s">
        <v>29</v>
      </c>
      <c r="B9" s="58">
        <v>1</v>
      </c>
      <c r="C9" t="s">
        <v>10</v>
      </c>
      <c r="E9" t="s">
        <v>73</v>
      </c>
      <c r="F9" s="3">
        <f>1.6*(F6-1)^2.5*F5</f>
        <v>3.4094009343243803</v>
      </c>
      <c r="G9" t="s">
        <v>3</v>
      </c>
      <c r="I9" t="s">
        <v>37</v>
      </c>
      <c r="J9" s="4">
        <f>1.4*B2+B5</f>
        <v>5.1999999999999993</v>
      </c>
      <c r="K9" t="s">
        <v>10</v>
      </c>
    </row>
    <row r="10" spans="1:11" ht="15.6" x14ac:dyDescent="0.35">
      <c r="A10" t="s">
        <v>71</v>
      </c>
      <c r="B10" s="58">
        <v>-9</v>
      </c>
      <c r="C10" t="s">
        <v>10</v>
      </c>
      <c r="E10" t="s">
        <v>74</v>
      </c>
      <c r="F10" s="3">
        <f>(1.6*F5*(F6*B4/B2-1)^2.5-F9)/2+F9</f>
        <v>4.8544700758377317</v>
      </c>
      <c r="G10" t="s">
        <v>3</v>
      </c>
      <c r="I10" t="s">
        <v>38</v>
      </c>
      <c r="J10" s="22">
        <f>IF(F6&lt;2.3,0.68-4.5*F2-0.05*F22/B2,IF(F6&lt;2.6,0.68-4.5*F2-0.05*F22+((0.7-9*F2)-(0.68-4.5*F2-0.05*F22))/0.3*(F6-2.3),(0.7-9*F2)))</f>
        <v>0.33851254017649363</v>
      </c>
    </row>
    <row r="11" spans="1:11" ht="15.6" x14ac:dyDescent="0.35">
      <c r="A11" t="s">
        <v>14</v>
      </c>
      <c r="B11" s="59">
        <v>5</v>
      </c>
      <c r="C11" t="s">
        <v>106</v>
      </c>
      <c r="E11" t="s">
        <v>118</v>
      </c>
      <c r="F11" s="20">
        <f>((B19+(B20-B19)/2)*1000/B14)^(1/3)</f>
        <v>0.48683594408371916</v>
      </c>
      <c r="G11" t="s">
        <v>3</v>
      </c>
      <c r="I11" t="s">
        <v>84</v>
      </c>
      <c r="J11" s="19">
        <f>(-1*LN(B11/1000/0.1035/(9.81*B2^3)^0.5))^(1/1.3)*B2*J10/(1.35)+B5</f>
        <v>3.915750649531192</v>
      </c>
      <c r="K11" t="s">
        <v>10</v>
      </c>
    </row>
    <row r="12" spans="1:11" ht="15.6" x14ac:dyDescent="0.35">
      <c r="A12" t="s">
        <v>15</v>
      </c>
      <c r="B12" s="59">
        <v>20</v>
      </c>
      <c r="C12" t="s">
        <v>106</v>
      </c>
      <c r="E12" t="s">
        <v>93</v>
      </c>
      <c r="F12" s="33" t="str">
        <f>IF(F8=2,"No Class III",((B21+(B22-B21)/2)*1000/B14)^(1/3))</f>
        <v>No Class III</v>
      </c>
      <c r="G12" t="str">
        <f>IF(F8=2,"","m")</f>
        <v/>
      </c>
      <c r="I12" t="s">
        <v>85</v>
      </c>
      <c r="J12" s="19">
        <f>(-1*LN(B12/1000/0.1035/(9.81*B4^3)^0.5))^(1/1.3)*B4*J10/(1.35)+B5</f>
        <v>3.8693778502622691</v>
      </c>
      <c r="K12" t="s">
        <v>10</v>
      </c>
    </row>
    <row r="13" spans="1:11" ht="16.2" x14ac:dyDescent="0.3">
      <c r="A13" t="s">
        <v>16</v>
      </c>
      <c r="B13" s="58">
        <v>1025</v>
      </c>
      <c r="C13" t="s">
        <v>18</v>
      </c>
      <c r="I13" s="58" t="s">
        <v>104</v>
      </c>
      <c r="J13" s="62">
        <v>4.5</v>
      </c>
      <c r="K13" t="s">
        <v>10</v>
      </c>
    </row>
    <row r="14" spans="1:11" ht="16.2" x14ac:dyDescent="0.3">
      <c r="A14" t="s">
        <v>17</v>
      </c>
      <c r="B14" s="58">
        <v>2600</v>
      </c>
      <c r="C14" t="s">
        <v>18</v>
      </c>
      <c r="E14" s="1" t="s">
        <v>34</v>
      </c>
    </row>
    <row r="15" spans="1:11" ht="15.6" x14ac:dyDescent="0.35">
      <c r="B15" s="58"/>
      <c r="C15" s="2"/>
      <c r="E15" s="5" t="s">
        <v>0</v>
      </c>
      <c r="F15" s="58">
        <v>30</v>
      </c>
      <c r="G15" t="s">
        <v>25</v>
      </c>
      <c r="I15" s="1" t="s">
        <v>95</v>
      </c>
      <c r="J15" s="17"/>
    </row>
    <row r="16" spans="1:11" x14ac:dyDescent="0.3">
      <c r="A16" s="1" t="s">
        <v>88</v>
      </c>
      <c r="B16" s="58"/>
      <c r="C16" s="2"/>
      <c r="E16" t="s">
        <v>60</v>
      </c>
      <c r="F16" s="3">
        <f>F9/(F15/100)</f>
        <v>11.364669781081268</v>
      </c>
      <c r="G16" t="s">
        <v>3</v>
      </c>
      <c r="I16" t="s">
        <v>97</v>
      </c>
      <c r="J16" s="11">
        <f>IF(F8=3,B10+1.5+2*F12,B10+1.5+2*F11)</f>
        <v>-6.5263281118325613</v>
      </c>
      <c r="K16" t="s">
        <v>10</v>
      </c>
    </row>
    <row r="17" spans="1:11" ht="15.6" x14ac:dyDescent="0.35">
      <c r="A17" t="s">
        <v>114</v>
      </c>
      <c r="B17" s="58">
        <v>0.5</v>
      </c>
      <c r="C17" t="s">
        <v>19</v>
      </c>
      <c r="E17" t="s">
        <v>61</v>
      </c>
      <c r="F17" s="3">
        <f>MAX(F9+F5,3*F5)</f>
        <v>4.1927924944198649</v>
      </c>
      <c r="G17" t="s">
        <v>3</v>
      </c>
      <c r="I17" s="10" t="s">
        <v>35</v>
      </c>
    </row>
    <row r="18" spans="1:11" ht="15.6" x14ac:dyDescent="0.35">
      <c r="A18" t="s">
        <v>116</v>
      </c>
      <c r="B18" s="58">
        <v>2</v>
      </c>
      <c r="C18" t="s">
        <v>19</v>
      </c>
      <c r="E18" t="s">
        <v>28</v>
      </c>
      <c r="F18">
        <f>B5+0.6*B2</f>
        <v>2.8</v>
      </c>
      <c r="G18" t="s">
        <v>10</v>
      </c>
      <c r="I18" t="s">
        <v>44</v>
      </c>
      <c r="J18" s="58">
        <v>2</v>
      </c>
      <c r="K18" s="2" t="s">
        <v>5</v>
      </c>
    </row>
    <row r="19" spans="1:11" ht="15.6" x14ac:dyDescent="0.35">
      <c r="A19" t="s">
        <v>115</v>
      </c>
      <c r="B19" s="58">
        <v>0.1</v>
      </c>
      <c r="C19" t="s">
        <v>19</v>
      </c>
      <c r="E19" t="s">
        <v>30</v>
      </c>
      <c r="F19" s="58">
        <v>1</v>
      </c>
      <c r="G19" t="s">
        <v>3</v>
      </c>
      <c r="I19" t="s">
        <v>98</v>
      </c>
      <c r="J19" s="11">
        <f>B6-((((B2/F3/(IF(F8=3,F12,F11)))*J18^-0.15)-2)/6.2)^(1/2.7)*(B6-B10)</f>
        <v>-5.0751286167257765</v>
      </c>
      <c r="K19" t="s">
        <v>10</v>
      </c>
    </row>
    <row r="20" spans="1:11" ht="15.6" x14ac:dyDescent="0.35">
      <c r="A20" t="s">
        <v>117</v>
      </c>
      <c r="B20" s="58">
        <v>0.5</v>
      </c>
      <c r="C20" t="s">
        <v>19</v>
      </c>
      <c r="E20" t="s">
        <v>31</v>
      </c>
      <c r="F20">
        <f>B9+F19</f>
        <v>2</v>
      </c>
      <c r="G20" t="s">
        <v>10</v>
      </c>
      <c r="I20" t="s">
        <v>46</v>
      </c>
      <c r="J20" s="12">
        <f>(B6-J19)/(IF(F8=3,F12,F11))</f>
        <v>12.47880048824222</v>
      </c>
      <c r="K20" s="63" t="str">
        <f>IF(AND(3&lt;(B6-J19)/(IF(F8=3,F12,F11)),(B6-J19)/(IF(F8=3,F12,F11))&lt;25),"ok","out of range")</f>
        <v>ok</v>
      </c>
    </row>
    <row r="21" spans="1:11" ht="15.6" x14ac:dyDescent="0.35">
      <c r="A21" t="s">
        <v>82</v>
      </c>
      <c r="B21" s="58"/>
      <c r="C21" t="s">
        <v>19</v>
      </c>
      <c r="E21" t="s">
        <v>32</v>
      </c>
      <c r="F21" s="3">
        <f>F20+2*F5</f>
        <v>3.5667831201909692</v>
      </c>
      <c r="G21" t="s">
        <v>10</v>
      </c>
      <c r="I21" t="s">
        <v>47</v>
      </c>
      <c r="J21" s="11">
        <f>(B6-J19)/(B6-B10)</f>
        <v>0.60751286167257768</v>
      </c>
      <c r="K21" s="63" t="str">
        <f>IF(AND(0.4&lt;(B6-J19)/(B6-B10),(B6-J19)/(B6-B10)&lt;0.9),"ok","out of range")</f>
        <v>ok</v>
      </c>
    </row>
    <row r="22" spans="1:11" ht="15.6" x14ac:dyDescent="0.35">
      <c r="A22" t="s">
        <v>83</v>
      </c>
      <c r="B22" s="58"/>
      <c r="C22" t="s">
        <v>19</v>
      </c>
      <c r="E22" s="58" t="s">
        <v>100</v>
      </c>
      <c r="F22" s="60">
        <v>11.5</v>
      </c>
      <c r="G22" t="s">
        <v>3</v>
      </c>
      <c r="I22" s="10" t="s">
        <v>39</v>
      </c>
      <c r="J22" s="11"/>
    </row>
    <row r="23" spans="1:11" ht="15.6" x14ac:dyDescent="0.35">
      <c r="E23" s="58" t="s">
        <v>101</v>
      </c>
      <c r="F23" s="60">
        <v>2.8</v>
      </c>
      <c r="G23" t="s">
        <v>10</v>
      </c>
      <c r="I23" t="s">
        <v>45</v>
      </c>
      <c r="J23" s="58">
        <v>4</v>
      </c>
      <c r="K23" s="2" t="s">
        <v>5</v>
      </c>
    </row>
    <row r="24" spans="1:11" ht="15.6" x14ac:dyDescent="0.35">
      <c r="I24" t="s">
        <v>99</v>
      </c>
      <c r="J24" s="11">
        <f>B6-((((B4/F3/(IF(F8=3,F12,F11)))*J23^-0.15)-2)/6.2)^(1/2.7)*(B6-B10)</f>
        <v>-5.3255050963472934</v>
      </c>
      <c r="K24" t="s">
        <v>10</v>
      </c>
    </row>
    <row r="25" spans="1:11" ht="15.6" x14ac:dyDescent="0.35">
      <c r="E25" s="6" t="s">
        <v>26</v>
      </c>
      <c r="F25" s="4">
        <f>2*F6*B2</f>
        <v>14.953295785900355</v>
      </c>
      <c r="G25" t="s">
        <v>3</v>
      </c>
      <c r="I25" t="s">
        <v>46</v>
      </c>
      <c r="J25" s="12">
        <f>(B6-J24)/(IF(F8=3,F12,F11))</f>
        <v>12.993093819834145</v>
      </c>
      <c r="K25" s="63" t="str">
        <f>IF(AND(3&lt;(B6-J24)/(IF(F8=3,F12,F11)),(B6-J24)/(IF(F8=3,F12,F11))&lt;25),"ok","out of range")</f>
        <v>ok</v>
      </c>
    </row>
    <row r="26" spans="1:11" ht="15.6" x14ac:dyDescent="0.35">
      <c r="E26" s="58" t="s">
        <v>102</v>
      </c>
      <c r="F26" s="61">
        <v>15</v>
      </c>
      <c r="G26" t="s">
        <v>48</v>
      </c>
      <c r="I26" t="s">
        <v>47</v>
      </c>
      <c r="J26" s="11">
        <f>(B6-J24)/(B6-B10)</f>
        <v>0.63255050963472936</v>
      </c>
      <c r="K26" s="63" t="str">
        <f>IF(AND(0.4&lt;(B6-J24)/(B6-B10),(B6-J19)/(B6-B10)&lt;0.9),"ok","out of range")</f>
        <v>ok</v>
      </c>
    </row>
    <row r="27" spans="1:11" x14ac:dyDescent="0.3">
      <c r="I27" s="58" t="s">
        <v>109</v>
      </c>
      <c r="J27" s="58">
        <v>-5.5</v>
      </c>
      <c r="K27" t="s">
        <v>10</v>
      </c>
    </row>
    <row r="28" spans="1:11" ht="15.6" x14ac:dyDescent="0.35">
      <c r="I28" s="58" t="s">
        <v>105</v>
      </c>
      <c r="J28" s="58">
        <v>1.5</v>
      </c>
      <c r="K28" s="2" t="s">
        <v>5</v>
      </c>
    </row>
    <row r="29" spans="1:11" x14ac:dyDescent="0.3">
      <c r="E29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</vt:i4>
      </vt:variant>
    </vt:vector>
  </HeadingPairs>
  <TitlesOfParts>
    <vt:vector size="13" baseType="lpstr">
      <vt:lpstr>Read me</vt:lpstr>
      <vt:lpstr>Input file</vt:lpstr>
      <vt:lpstr>Output file</vt:lpstr>
      <vt:lpstr>Eq and remarks</vt:lpstr>
      <vt:lpstr>Fig. 8.3</vt:lpstr>
      <vt:lpstr>Fig. 8.6</vt:lpstr>
      <vt:lpstr>Fig. 8.8</vt:lpstr>
      <vt:lpstr>Fig. 8.13</vt:lpstr>
      <vt:lpstr>Fig. 8.15</vt:lpstr>
      <vt:lpstr>Fig. 8.21</vt:lpstr>
      <vt:lpstr>Fig. 8.23</vt:lpstr>
      <vt:lpstr>Fig. 8.25</vt:lpstr>
      <vt:lpstr>'Output file'!Afdrukbereik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Jentsje</dc:creator>
  <cp:lastModifiedBy>Jentsje</cp:lastModifiedBy>
  <cp:lastPrinted>2013-09-25T11:35:20Z</cp:lastPrinted>
  <dcterms:created xsi:type="dcterms:W3CDTF">2013-06-12T12:41:18Z</dcterms:created>
  <dcterms:modified xsi:type="dcterms:W3CDTF">2020-07-27T15:26:38Z</dcterms:modified>
</cp:coreProperties>
</file>